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B85F26B9-A292-44EA-9E0F-1A381F5DF49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Open ECC2024" sheetId="1" r:id="rId1"/>
    <sheet name="Women ECC2024" sheetId="2" r:id="rId2"/>
  </sheets>
  <definedNames>
    <definedName name="_xlnm._FilterDatabase" localSheetId="0" hidden="1">'Open ECC2024'!$A$1:$AB$534</definedName>
    <definedName name="_xlnm._FilterDatabase" localSheetId="1" hidden="1">'Women ECC2024'!$A$1:$AJ$112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B40" i="1" l="1"/>
  <c r="AA40" i="1"/>
  <c r="AB39" i="1"/>
  <c r="AA39" i="1"/>
  <c r="AA419" i="1"/>
  <c r="D419" i="1"/>
  <c r="AA447" i="1"/>
  <c r="T447" i="1"/>
  <c r="S447" i="1"/>
  <c r="R447" i="1"/>
  <c r="Q447" i="1"/>
  <c r="P447" i="1"/>
  <c r="O447" i="1"/>
  <c r="N447" i="1"/>
  <c r="M447" i="1"/>
  <c r="L447" i="1"/>
  <c r="I447" i="1"/>
  <c r="G447" i="1"/>
  <c r="F447" i="1"/>
  <c r="AA446" i="1"/>
  <c r="T446" i="1"/>
  <c r="S446" i="1"/>
  <c r="R446" i="1"/>
  <c r="Q446" i="1"/>
  <c r="P446" i="1"/>
  <c r="O446" i="1"/>
  <c r="N446" i="1"/>
  <c r="M446" i="1"/>
  <c r="L446" i="1"/>
  <c r="I446" i="1"/>
  <c r="G446" i="1"/>
  <c r="F446" i="1"/>
  <c r="E446" i="1"/>
  <c r="D446" i="1"/>
  <c r="AA445" i="1"/>
  <c r="T445" i="1"/>
  <c r="S445" i="1"/>
  <c r="R445" i="1"/>
  <c r="Q445" i="1"/>
  <c r="O445" i="1"/>
  <c r="N445" i="1"/>
  <c r="M445" i="1"/>
  <c r="L445" i="1"/>
  <c r="I445" i="1"/>
  <c r="G445" i="1"/>
  <c r="E445" i="1"/>
  <c r="D445" i="1"/>
  <c r="AA444" i="1"/>
  <c r="T444" i="1"/>
  <c r="S444" i="1"/>
  <c r="R444" i="1"/>
  <c r="Q444" i="1"/>
  <c r="P444" i="1"/>
  <c r="O444" i="1"/>
  <c r="N444" i="1"/>
  <c r="M444" i="1"/>
  <c r="L444" i="1"/>
  <c r="I444" i="1"/>
  <c r="G444" i="1"/>
  <c r="E444" i="1"/>
  <c r="D444" i="1"/>
  <c r="AA443" i="1"/>
  <c r="T443" i="1"/>
  <c r="S443" i="1"/>
  <c r="R443" i="1"/>
  <c r="Q443" i="1"/>
  <c r="P443" i="1"/>
  <c r="O443" i="1"/>
  <c r="N443" i="1"/>
  <c r="M443" i="1"/>
  <c r="L443" i="1"/>
  <c r="I443" i="1"/>
  <c r="G443" i="1"/>
  <c r="E443" i="1"/>
  <c r="D443" i="1"/>
  <c r="T431" i="1"/>
  <c r="S431" i="1"/>
  <c r="R431" i="1"/>
  <c r="Q431" i="1"/>
  <c r="O431" i="1"/>
  <c r="N431" i="1"/>
  <c r="M431" i="1"/>
  <c r="L431" i="1"/>
  <c r="I431" i="1"/>
  <c r="G431" i="1"/>
  <c r="F431" i="1"/>
  <c r="D431" i="1"/>
  <c r="AB286" i="1"/>
  <c r="AA286" i="1"/>
  <c r="Z286" i="1"/>
  <c r="T286" i="1"/>
  <c r="S286" i="1"/>
  <c r="R286" i="1"/>
  <c r="Q286" i="1"/>
  <c r="O286" i="1"/>
  <c r="N286" i="1"/>
  <c r="M286" i="1"/>
  <c r="L286" i="1"/>
  <c r="I286" i="1"/>
  <c r="G286" i="1"/>
  <c r="F286" i="1"/>
  <c r="E286" i="1"/>
  <c r="D286" i="1"/>
  <c r="AB81" i="1"/>
  <c r="AA81" i="1"/>
  <c r="Z81" i="1"/>
  <c r="T81" i="1"/>
  <c r="S81" i="1"/>
  <c r="R81" i="1"/>
  <c r="Q81" i="1"/>
  <c r="O81" i="1"/>
  <c r="N81" i="1"/>
  <c r="M81" i="1"/>
  <c r="L81" i="1"/>
  <c r="I81" i="1"/>
  <c r="G81" i="1"/>
  <c r="F81" i="1"/>
  <c r="E81" i="1"/>
  <c r="D81" i="1"/>
  <c r="AB385" i="1"/>
  <c r="AA385" i="1"/>
  <c r="Z385" i="1"/>
  <c r="T385" i="1"/>
  <c r="S385" i="1"/>
  <c r="R385" i="1"/>
  <c r="Q385" i="1"/>
  <c r="O385" i="1"/>
  <c r="N385" i="1"/>
  <c r="M385" i="1"/>
  <c r="L385" i="1"/>
  <c r="I385" i="1"/>
  <c r="G385" i="1"/>
  <c r="F385" i="1"/>
  <c r="E385" i="1"/>
  <c r="D385" i="1"/>
  <c r="AB472" i="1"/>
  <c r="AA472" i="1"/>
  <c r="Z472" i="1"/>
  <c r="T472" i="1"/>
  <c r="S472" i="1"/>
  <c r="R472" i="1"/>
  <c r="Q472" i="1"/>
  <c r="O472" i="1"/>
  <c r="N472" i="1"/>
  <c r="M472" i="1"/>
  <c r="L472" i="1"/>
  <c r="I472" i="1"/>
  <c r="G472" i="1"/>
  <c r="F472" i="1"/>
  <c r="E472" i="1"/>
  <c r="D472" i="1"/>
  <c r="AB192" i="1"/>
  <c r="AA192" i="1"/>
  <c r="Z192" i="1"/>
  <c r="T192" i="1"/>
  <c r="S192" i="1"/>
  <c r="R192" i="1"/>
  <c r="Q192" i="1"/>
  <c r="O192" i="1"/>
  <c r="N192" i="1"/>
  <c r="M192" i="1"/>
  <c r="L192" i="1"/>
  <c r="I192" i="1"/>
  <c r="G192" i="1"/>
  <c r="F192" i="1"/>
  <c r="E192" i="1"/>
  <c r="D192" i="1"/>
  <c r="AB271" i="1"/>
  <c r="AA271" i="1"/>
  <c r="Z271" i="1"/>
  <c r="T271" i="1"/>
  <c r="S271" i="1"/>
  <c r="R271" i="1"/>
  <c r="Q271" i="1"/>
  <c r="O271" i="1"/>
  <c r="N271" i="1"/>
  <c r="M271" i="1"/>
  <c r="L271" i="1"/>
  <c r="I271" i="1"/>
  <c r="G271" i="1"/>
  <c r="F271" i="1"/>
  <c r="E271" i="1"/>
  <c r="D271" i="1"/>
  <c r="AB471" i="1"/>
  <c r="AA471" i="1"/>
  <c r="Z471" i="1"/>
  <c r="T471" i="1"/>
  <c r="S471" i="1"/>
  <c r="R471" i="1"/>
  <c r="Q471" i="1"/>
  <c r="O471" i="1"/>
  <c r="N471" i="1"/>
  <c r="M471" i="1"/>
  <c r="L471" i="1"/>
  <c r="I471" i="1"/>
  <c r="G471" i="1"/>
  <c r="F471" i="1"/>
  <c r="E471" i="1"/>
  <c r="D471" i="1"/>
  <c r="AB121" i="1"/>
  <c r="AA121" i="1"/>
  <c r="Z121" i="1"/>
  <c r="X121" i="1"/>
  <c r="T121" i="1"/>
  <c r="S121" i="1"/>
  <c r="R121" i="1"/>
  <c r="Q121" i="1"/>
  <c r="O121" i="1"/>
  <c r="N121" i="1"/>
  <c r="M121" i="1"/>
  <c r="L121" i="1"/>
  <c r="I121" i="1"/>
  <c r="G121" i="1"/>
  <c r="F121" i="1"/>
  <c r="E121" i="1"/>
  <c r="D121" i="1"/>
  <c r="AB285" i="1"/>
  <c r="AA285" i="1"/>
  <c r="Z285" i="1"/>
  <c r="T285" i="1"/>
  <c r="S285" i="1"/>
  <c r="R285" i="1"/>
  <c r="Q285" i="1"/>
  <c r="O285" i="1"/>
  <c r="N285" i="1"/>
  <c r="M285" i="1"/>
  <c r="L285" i="1"/>
  <c r="I285" i="1"/>
  <c r="G285" i="1"/>
  <c r="F285" i="1"/>
  <c r="E285" i="1"/>
  <c r="D285" i="1"/>
  <c r="AA56" i="1"/>
  <c r="Z56" i="1"/>
  <c r="T56" i="1"/>
  <c r="S56" i="1"/>
  <c r="R56" i="1"/>
  <c r="Q56" i="1"/>
  <c r="O56" i="1"/>
  <c r="N56" i="1"/>
  <c r="M56" i="1"/>
  <c r="I56" i="1"/>
  <c r="E56" i="1"/>
  <c r="D56" i="1"/>
  <c r="AA55" i="1"/>
  <c r="Z55" i="1"/>
  <c r="T55" i="1"/>
  <c r="S55" i="1"/>
  <c r="R55" i="1"/>
  <c r="Q55" i="1"/>
  <c r="P55" i="1"/>
  <c r="O55" i="1"/>
  <c r="N55" i="1"/>
  <c r="M55" i="1"/>
  <c r="I55" i="1"/>
  <c r="G55" i="1"/>
  <c r="F55" i="1"/>
  <c r="E55" i="1"/>
  <c r="D55" i="1"/>
  <c r="AA54" i="1"/>
  <c r="Z54" i="1"/>
  <c r="T54" i="1"/>
  <c r="S54" i="1"/>
  <c r="R54" i="1"/>
  <c r="Q54" i="1"/>
  <c r="P54" i="1"/>
  <c r="O54" i="1"/>
  <c r="N54" i="1"/>
  <c r="M54" i="1"/>
  <c r="I54" i="1"/>
  <c r="G54" i="1"/>
  <c r="F54" i="1"/>
  <c r="E54" i="1"/>
  <c r="D54" i="1"/>
  <c r="AA53" i="1"/>
  <c r="Z53" i="1"/>
  <c r="T53" i="1"/>
  <c r="S53" i="1"/>
  <c r="R53" i="1"/>
  <c r="Q53" i="1"/>
  <c r="P53" i="1"/>
  <c r="O53" i="1"/>
  <c r="N53" i="1"/>
  <c r="M53" i="1"/>
  <c r="I53" i="1"/>
  <c r="G53" i="1"/>
  <c r="F53" i="1"/>
  <c r="E53" i="1"/>
  <c r="D53" i="1"/>
  <c r="AA52" i="1"/>
  <c r="Z52" i="1"/>
  <c r="T52" i="1"/>
  <c r="S52" i="1"/>
  <c r="R52" i="1"/>
  <c r="Q52" i="1"/>
  <c r="P52" i="1"/>
  <c r="O52" i="1"/>
  <c r="N52" i="1"/>
  <c r="M52" i="1"/>
  <c r="I52" i="1"/>
  <c r="E52" i="1"/>
  <c r="D52" i="1"/>
  <c r="AA51" i="1"/>
  <c r="Z51" i="1"/>
  <c r="T51" i="1"/>
  <c r="S51" i="1"/>
  <c r="R51" i="1"/>
  <c r="Q51" i="1"/>
  <c r="P51" i="1"/>
  <c r="O51" i="1"/>
  <c r="N51" i="1"/>
  <c r="M51" i="1"/>
  <c r="I51" i="1"/>
  <c r="G51" i="1"/>
  <c r="F51" i="1"/>
  <c r="E51" i="1"/>
  <c r="D51" i="1"/>
  <c r="AB167" i="1"/>
  <c r="AA167" i="1"/>
  <c r="Z167" i="1"/>
  <c r="T167" i="1"/>
  <c r="S167" i="1"/>
  <c r="R167" i="1"/>
  <c r="Q167" i="1"/>
  <c r="P167" i="1"/>
  <c r="O167" i="1"/>
  <c r="N167" i="1"/>
  <c r="M167" i="1"/>
  <c r="I167" i="1"/>
  <c r="G167" i="1"/>
  <c r="F167" i="1"/>
  <c r="E167" i="1"/>
  <c r="D167" i="1"/>
  <c r="AB401" i="1"/>
  <c r="AA401" i="1"/>
  <c r="Z401" i="1"/>
  <c r="T401" i="1"/>
  <c r="S401" i="1"/>
  <c r="R401" i="1"/>
  <c r="Q401" i="1"/>
  <c r="P401" i="1"/>
  <c r="O401" i="1"/>
  <c r="N401" i="1"/>
  <c r="M401" i="1"/>
  <c r="I401" i="1"/>
  <c r="G401" i="1"/>
  <c r="F401" i="1"/>
  <c r="E401" i="1"/>
  <c r="D401" i="1"/>
  <c r="AB435" i="1"/>
  <c r="AA435" i="1"/>
  <c r="Z435" i="1"/>
  <c r="T435" i="1"/>
  <c r="S435" i="1"/>
  <c r="R435" i="1"/>
  <c r="Q435" i="1"/>
  <c r="P435" i="1"/>
  <c r="O435" i="1"/>
  <c r="N435" i="1"/>
  <c r="M435" i="1"/>
  <c r="L435" i="1"/>
  <c r="I435" i="1"/>
  <c r="G435" i="1"/>
  <c r="F435" i="1"/>
  <c r="D435" i="1"/>
  <c r="AB266" i="1"/>
  <c r="AA266" i="1"/>
  <c r="Z266" i="1"/>
  <c r="T266" i="1"/>
  <c r="S266" i="1"/>
  <c r="R266" i="1"/>
  <c r="Q266" i="1"/>
  <c r="O266" i="1"/>
  <c r="N266" i="1"/>
  <c r="M266" i="1"/>
  <c r="L266" i="1"/>
  <c r="I266" i="1"/>
  <c r="G266" i="1"/>
  <c r="F266" i="1"/>
  <c r="E266" i="1"/>
  <c r="D266" i="1"/>
  <c r="C266" i="1"/>
  <c r="AB434" i="1"/>
  <c r="AA434" i="1"/>
  <c r="Z434" i="1"/>
  <c r="T434" i="1"/>
  <c r="S434" i="1"/>
  <c r="R434" i="1"/>
  <c r="Q434" i="1"/>
  <c r="P434" i="1"/>
  <c r="O434" i="1"/>
  <c r="N434" i="1"/>
  <c r="M434" i="1"/>
  <c r="L434" i="1"/>
  <c r="I434" i="1"/>
  <c r="G434" i="1"/>
  <c r="F434" i="1"/>
  <c r="E434" i="1"/>
  <c r="D434" i="1"/>
  <c r="C434" i="1"/>
  <c r="AB265" i="1"/>
  <c r="AA265" i="1"/>
  <c r="Z265" i="1"/>
  <c r="T265" i="1"/>
  <c r="S265" i="1"/>
  <c r="R265" i="1"/>
  <c r="Q265" i="1"/>
  <c r="P265" i="1"/>
  <c r="O265" i="1"/>
  <c r="N265" i="1"/>
  <c r="M265" i="1"/>
  <c r="L265" i="1"/>
  <c r="I265" i="1"/>
  <c r="G265" i="1"/>
  <c r="F265" i="1"/>
  <c r="E265" i="1"/>
  <c r="D265" i="1"/>
  <c r="AA106" i="1"/>
  <c r="X106" i="1"/>
  <c r="T106" i="1"/>
  <c r="S106" i="1"/>
  <c r="R106" i="1"/>
  <c r="Q106" i="1"/>
  <c r="O106" i="1"/>
  <c r="N106" i="1"/>
  <c r="M106" i="1"/>
  <c r="L106" i="1"/>
  <c r="I106" i="1"/>
  <c r="G106" i="1"/>
  <c r="F106" i="1"/>
  <c r="E106" i="1"/>
  <c r="D106" i="1"/>
  <c r="AB335" i="1"/>
  <c r="AA335" i="1"/>
  <c r="Z335" i="1"/>
  <c r="X335" i="1"/>
  <c r="T335" i="1"/>
  <c r="S335" i="1"/>
  <c r="R335" i="1"/>
  <c r="Q335" i="1"/>
  <c r="O335" i="1"/>
  <c r="N335" i="1"/>
  <c r="M335" i="1"/>
  <c r="L335" i="1"/>
  <c r="I335" i="1"/>
  <c r="G335" i="1"/>
  <c r="F335" i="1"/>
  <c r="E335" i="1"/>
  <c r="D335" i="1"/>
  <c r="AB334" i="1"/>
  <c r="AA334" i="1"/>
  <c r="Z334" i="1"/>
  <c r="X334" i="1"/>
  <c r="T334" i="1"/>
  <c r="S334" i="1"/>
  <c r="R334" i="1"/>
  <c r="Q334" i="1"/>
  <c r="O334" i="1"/>
  <c r="N334" i="1"/>
  <c r="M334" i="1"/>
  <c r="L334" i="1"/>
  <c r="I334" i="1"/>
  <c r="G334" i="1"/>
  <c r="F334" i="1"/>
  <c r="E334" i="1"/>
  <c r="D334" i="1"/>
  <c r="AB384" i="1"/>
  <c r="AA384" i="1"/>
  <c r="Z384" i="1"/>
  <c r="X384" i="1"/>
  <c r="T384" i="1"/>
  <c r="S384" i="1"/>
  <c r="R384" i="1"/>
  <c r="Q384" i="1"/>
  <c r="O384" i="1"/>
  <c r="N384" i="1"/>
  <c r="M384" i="1"/>
  <c r="L384" i="1"/>
  <c r="I384" i="1"/>
  <c r="G384" i="1"/>
  <c r="F384" i="1"/>
  <c r="E384" i="1"/>
  <c r="D384" i="1"/>
  <c r="AB184" i="1"/>
  <c r="AA184" i="1"/>
  <c r="Z184" i="1"/>
  <c r="T184" i="1"/>
  <c r="S184" i="1"/>
  <c r="R184" i="1"/>
  <c r="Q184" i="1"/>
  <c r="O184" i="1"/>
  <c r="N184" i="1"/>
  <c r="M184" i="1"/>
  <c r="L184" i="1"/>
  <c r="I184" i="1"/>
  <c r="G184" i="1"/>
  <c r="F184" i="1"/>
  <c r="E184" i="1"/>
  <c r="D184" i="1"/>
  <c r="AB183" i="1"/>
  <c r="AA183" i="1"/>
  <c r="Z183" i="1"/>
  <c r="T183" i="1"/>
  <c r="S183" i="1"/>
  <c r="R183" i="1"/>
  <c r="Q183" i="1"/>
  <c r="O183" i="1"/>
  <c r="N183" i="1"/>
  <c r="M183" i="1"/>
  <c r="L183" i="1"/>
  <c r="I183" i="1"/>
  <c r="G183" i="1"/>
  <c r="F183" i="1"/>
  <c r="E183" i="1"/>
  <c r="D183" i="1"/>
  <c r="AA451" i="1"/>
  <c r="Z451" i="1"/>
  <c r="T451" i="1"/>
  <c r="S451" i="1"/>
  <c r="R451" i="1"/>
  <c r="Q451" i="1"/>
  <c r="O451" i="1"/>
  <c r="N451" i="1"/>
  <c r="M451" i="1"/>
  <c r="L451" i="1"/>
  <c r="I451" i="1"/>
  <c r="G451" i="1"/>
  <c r="F451" i="1"/>
  <c r="E451" i="1"/>
  <c r="D451" i="1"/>
  <c r="AB516" i="1"/>
  <c r="AA516" i="1"/>
  <c r="Z516" i="1"/>
  <c r="T516" i="1"/>
  <c r="S516" i="1"/>
  <c r="R516" i="1"/>
  <c r="Q516" i="1"/>
  <c r="O516" i="1"/>
  <c r="N516" i="1"/>
  <c r="M516" i="1"/>
  <c r="L516" i="1"/>
  <c r="I516" i="1"/>
  <c r="G516" i="1"/>
  <c r="F516" i="1"/>
  <c r="E516" i="1"/>
  <c r="D516" i="1"/>
  <c r="AB287" i="1"/>
  <c r="AA287" i="1"/>
  <c r="Z287" i="1"/>
  <c r="T287" i="1"/>
  <c r="S287" i="1"/>
  <c r="R287" i="1"/>
  <c r="Q287" i="1"/>
  <c r="O287" i="1"/>
  <c r="N287" i="1"/>
  <c r="M287" i="1"/>
  <c r="L287" i="1"/>
  <c r="I287" i="1"/>
  <c r="G287" i="1"/>
  <c r="F287" i="1"/>
  <c r="E287" i="1"/>
  <c r="D287" i="1"/>
  <c r="AB89" i="1"/>
  <c r="AA89" i="1"/>
  <c r="Z89" i="1"/>
  <c r="X89" i="1"/>
  <c r="T89" i="1"/>
  <c r="S89" i="1"/>
  <c r="R89" i="1"/>
  <c r="Q89" i="1"/>
  <c r="P89" i="1"/>
  <c r="O89" i="1"/>
  <c r="N89" i="1"/>
  <c r="M89" i="1"/>
  <c r="I89" i="1"/>
  <c r="G89" i="1"/>
  <c r="F89" i="1"/>
  <c r="D89" i="1"/>
  <c r="AB166" i="1"/>
  <c r="AA166" i="1"/>
  <c r="Z166" i="1"/>
  <c r="X166" i="1"/>
  <c r="T166" i="1"/>
  <c r="S166" i="1"/>
  <c r="R166" i="1"/>
  <c r="Q166" i="1"/>
  <c r="P166" i="1"/>
  <c r="O166" i="1"/>
  <c r="N166" i="1"/>
  <c r="M166" i="1"/>
  <c r="I166" i="1"/>
  <c r="G166" i="1"/>
  <c r="F166" i="1"/>
  <c r="D166" i="1"/>
  <c r="AB88" i="1"/>
  <c r="AA88" i="1"/>
  <c r="Z88" i="1"/>
  <c r="T88" i="1"/>
  <c r="S88" i="1"/>
  <c r="R88" i="1"/>
  <c r="Q88" i="1"/>
  <c r="O88" i="1"/>
  <c r="N88" i="1"/>
  <c r="M88" i="1"/>
  <c r="I88" i="1"/>
  <c r="G88" i="1"/>
  <c r="F88" i="1"/>
  <c r="D88" i="1"/>
  <c r="AB42" i="1"/>
  <c r="AA42" i="1"/>
  <c r="Z42" i="1"/>
  <c r="X42" i="1"/>
  <c r="T42" i="1"/>
  <c r="S42" i="1"/>
  <c r="R42" i="1"/>
  <c r="Q42" i="1"/>
  <c r="P42" i="1"/>
  <c r="O42" i="1"/>
  <c r="N42" i="1"/>
  <c r="M42" i="1"/>
  <c r="I42" i="1"/>
  <c r="G42" i="1"/>
  <c r="F42" i="1"/>
  <c r="E42" i="1"/>
  <c r="D42" i="1"/>
  <c r="AB41" i="1"/>
  <c r="AA41" i="1"/>
  <c r="Z41" i="1"/>
  <c r="X41" i="1"/>
  <c r="T41" i="1"/>
  <c r="S41" i="1"/>
  <c r="R41" i="1"/>
  <c r="Q41" i="1"/>
  <c r="P41" i="1"/>
  <c r="O41" i="1"/>
  <c r="N41" i="1"/>
  <c r="M41" i="1"/>
  <c r="I41" i="1"/>
  <c r="G41" i="1"/>
  <c r="F41" i="1"/>
  <c r="E41" i="1"/>
  <c r="D41" i="1"/>
  <c r="AB87" i="1"/>
  <c r="AA87" i="1"/>
  <c r="Z87" i="1"/>
  <c r="X87" i="1"/>
  <c r="T87" i="1"/>
  <c r="S87" i="1"/>
  <c r="R87" i="1"/>
  <c r="Q87" i="1"/>
  <c r="P87" i="1"/>
  <c r="O87" i="1"/>
  <c r="N87" i="1"/>
  <c r="M87" i="1"/>
  <c r="I87" i="1"/>
  <c r="G87" i="1"/>
  <c r="F87" i="1"/>
  <c r="E87" i="1"/>
  <c r="D87" i="1"/>
  <c r="AB86" i="1"/>
  <c r="AA86" i="1"/>
  <c r="Z86" i="1"/>
  <c r="T86" i="1"/>
  <c r="S86" i="1"/>
  <c r="R86" i="1"/>
  <c r="Q86" i="1"/>
  <c r="O86" i="1"/>
  <c r="N86" i="1"/>
  <c r="M86" i="1"/>
  <c r="I86" i="1"/>
  <c r="G86" i="1"/>
  <c r="F86" i="1"/>
  <c r="E86" i="1"/>
  <c r="D86" i="1"/>
  <c r="AB165" i="1"/>
  <c r="AA165" i="1"/>
  <c r="Z165" i="1"/>
  <c r="X165" i="1"/>
  <c r="T165" i="1"/>
  <c r="S165" i="1"/>
  <c r="R165" i="1"/>
  <c r="Q165" i="1"/>
  <c r="P165" i="1"/>
  <c r="O165" i="1"/>
  <c r="N165" i="1"/>
  <c r="M165" i="1"/>
  <c r="I165" i="1"/>
  <c r="G165" i="1"/>
  <c r="F165" i="1"/>
  <c r="E165" i="1"/>
  <c r="D165" i="1"/>
  <c r="T530" i="1"/>
  <c r="S530" i="1"/>
  <c r="R530" i="1"/>
  <c r="Q530" i="1"/>
  <c r="P530" i="1"/>
  <c r="O530" i="1"/>
  <c r="N530" i="1"/>
  <c r="M530" i="1"/>
  <c r="L530" i="1"/>
  <c r="I530" i="1"/>
  <c r="G530" i="1"/>
  <c r="F530" i="1"/>
  <c r="E530" i="1"/>
  <c r="D530" i="1"/>
  <c r="T529" i="1"/>
  <c r="S529" i="1"/>
  <c r="R529" i="1"/>
  <c r="Q529" i="1"/>
  <c r="P529" i="1"/>
  <c r="O529" i="1"/>
  <c r="N529" i="1"/>
  <c r="M529" i="1"/>
  <c r="L529" i="1"/>
  <c r="I529" i="1"/>
  <c r="G529" i="1"/>
  <c r="F529" i="1"/>
  <c r="E529" i="1"/>
  <c r="D529" i="1"/>
  <c r="AA105" i="1"/>
  <c r="T105" i="1"/>
  <c r="S105" i="1"/>
  <c r="R105" i="1"/>
  <c r="Q105" i="1"/>
  <c r="O105" i="1"/>
  <c r="N105" i="1"/>
  <c r="M105" i="1"/>
  <c r="I105" i="1"/>
  <c r="G105" i="1"/>
  <c r="F105" i="1"/>
  <c r="E105" i="1"/>
  <c r="D105" i="1"/>
  <c r="AA104" i="1"/>
  <c r="T104" i="1"/>
  <c r="S104" i="1"/>
  <c r="R104" i="1"/>
  <c r="Q104" i="1"/>
  <c r="O104" i="1"/>
  <c r="N104" i="1"/>
  <c r="M104" i="1"/>
  <c r="I104" i="1"/>
  <c r="G104" i="1"/>
  <c r="F104" i="1"/>
  <c r="E104" i="1"/>
  <c r="D104" i="1"/>
  <c r="AA246" i="1"/>
  <c r="T246" i="1"/>
  <c r="S246" i="1"/>
  <c r="R246" i="1"/>
  <c r="Q246" i="1"/>
  <c r="O246" i="1"/>
  <c r="N246" i="1"/>
  <c r="M246" i="1"/>
  <c r="L246" i="1"/>
  <c r="I246" i="1"/>
  <c r="G246" i="1"/>
  <c r="F246" i="1"/>
  <c r="E246" i="1"/>
  <c r="AA245" i="1"/>
  <c r="T245" i="1"/>
  <c r="S245" i="1"/>
  <c r="R245" i="1"/>
  <c r="Q245" i="1"/>
  <c r="O245" i="1"/>
  <c r="N245" i="1"/>
  <c r="M245" i="1"/>
  <c r="L245" i="1"/>
  <c r="I245" i="1"/>
  <c r="G245" i="1"/>
  <c r="F245" i="1"/>
  <c r="E245" i="1"/>
  <c r="AB236" i="1"/>
  <c r="AA236" i="1"/>
  <c r="Z236" i="1"/>
  <c r="T236" i="1"/>
  <c r="S236" i="1"/>
  <c r="R236" i="1"/>
  <c r="Q236" i="1"/>
  <c r="P236" i="1"/>
  <c r="O236" i="1"/>
  <c r="N236" i="1"/>
  <c r="M236" i="1"/>
  <c r="L236" i="1"/>
  <c r="I236" i="1"/>
  <c r="G236" i="1"/>
  <c r="F236" i="1"/>
  <c r="E236" i="1"/>
  <c r="AB305" i="1"/>
  <c r="AA305" i="1"/>
  <c r="Z305" i="1"/>
  <c r="T305" i="1"/>
  <c r="S305" i="1"/>
  <c r="R305" i="1"/>
  <c r="Q305" i="1"/>
  <c r="P305" i="1"/>
  <c r="O305" i="1"/>
  <c r="N305" i="1"/>
  <c r="M305" i="1"/>
  <c r="L305" i="1"/>
  <c r="I305" i="1"/>
  <c r="G305" i="1"/>
  <c r="F305" i="1"/>
  <c r="E305" i="1"/>
  <c r="AB476" i="1"/>
  <c r="AA476" i="1"/>
  <c r="Z476" i="1"/>
  <c r="W476" i="1"/>
  <c r="T476" i="1"/>
  <c r="S476" i="1"/>
  <c r="R476" i="1"/>
  <c r="Q476" i="1"/>
  <c r="P476" i="1"/>
  <c r="O476" i="1"/>
  <c r="N476" i="1"/>
  <c r="M476" i="1"/>
  <c r="I476" i="1"/>
  <c r="G476" i="1"/>
  <c r="F476" i="1"/>
  <c r="AA294" i="1"/>
  <c r="W294" i="1"/>
  <c r="T294" i="1"/>
  <c r="S294" i="1"/>
  <c r="R294" i="1"/>
  <c r="Q294" i="1"/>
  <c r="O294" i="1"/>
  <c r="N294" i="1"/>
  <c r="M294" i="1"/>
  <c r="I294" i="1"/>
  <c r="G294" i="1"/>
  <c r="F294" i="1"/>
  <c r="E294" i="1"/>
  <c r="AA291" i="1"/>
  <c r="W291" i="1"/>
  <c r="T291" i="1"/>
  <c r="S291" i="1"/>
  <c r="R291" i="1"/>
  <c r="Q291" i="1"/>
  <c r="O291" i="1"/>
  <c r="N291" i="1"/>
  <c r="M291" i="1"/>
  <c r="I291" i="1"/>
  <c r="G291" i="1"/>
  <c r="F291" i="1"/>
  <c r="E291" i="1"/>
  <c r="AA211" i="1"/>
  <c r="W211" i="1"/>
  <c r="T211" i="1"/>
  <c r="S211" i="1"/>
  <c r="R211" i="1"/>
  <c r="Q211" i="1"/>
  <c r="O211" i="1"/>
  <c r="N211" i="1"/>
  <c r="M211" i="1"/>
  <c r="I211" i="1"/>
  <c r="G211" i="1"/>
  <c r="F211" i="1"/>
  <c r="E211" i="1"/>
  <c r="AA69" i="1"/>
  <c r="W69" i="1"/>
  <c r="T69" i="1"/>
  <c r="S69" i="1"/>
  <c r="R69" i="1"/>
  <c r="Q69" i="1"/>
  <c r="O69" i="1"/>
  <c r="N69" i="1"/>
  <c r="M69" i="1"/>
  <c r="I69" i="1"/>
  <c r="G69" i="1"/>
  <c r="F69" i="1"/>
  <c r="E69" i="1"/>
  <c r="AA65" i="1"/>
  <c r="W65" i="1"/>
  <c r="T65" i="1"/>
  <c r="S65" i="1"/>
  <c r="R65" i="1"/>
  <c r="Q65" i="1"/>
  <c r="O65" i="1"/>
  <c r="N65" i="1"/>
  <c r="M65" i="1"/>
  <c r="I65" i="1"/>
  <c r="G65" i="1"/>
  <c r="F65" i="1"/>
  <c r="E65" i="1"/>
  <c r="AA391" i="1"/>
  <c r="AA68" i="1"/>
  <c r="AA515" i="1"/>
  <c r="AA415" i="1"/>
  <c r="AA514" i="1"/>
  <c r="Z328" i="1"/>
  <c r="Q284" i="1"/>
  <c r="L284" i="1"/>
  <c r="Q283" i="1"/>
  <c r="L283" i="1"/>
  <c r="Q282" i="1"/>
  <c r="L282" i="1"/>
  <c r="Q281" i="1"/>
  <c r="L281" i="1"/>
  <c r="Q280" i="1"/>
  <c r="L280" i="1"/>
  <c r="Q279" i="1"/>
  <c r="L279" i="1"/>
  <c r="Q277" i="1"/>
  <c r="L277" i="1"/>
  <c r="Q276" i="1"/>
  <c r="L276" i="1"/>
  <c r="AA102" i="1"/>
  <c r="AA290" i="1"/>
  <c r="AA256" i="1"/>
  <c r="AA201" i="1"/>
  <c r="AA124" i="1"/>
  <c r="R124" i="1"/>
  <c r="L124" i="1"/>
  <c r="AG103" i="2"/>
  <c r="AG99" i="2"/>
  <c r="AD101" i="2"/>
  <c r="S57" i="2"/>
  <c r="N81" i="2"/>
  <c r="E360" i="1"/>
  <c r="AE11" i="2"/>
  <c r="AJ52" i="2"/>
  <c r="J20" i="2"/>
  <c r="G91" i="2"/>
  <c r="D100" i="2"/>
  <c r="L315" i="1"/>
  <c r="A80" i="2"/>
  <c r="X36" i="2"/>
  <c r="I467" i="1"/>
  <c r="N357" i="1"/>
  <c r="P16" i="2"/>
  <c r="N76" i="2"/>
  <c r="J96" i="2"/>
  <c r="S27" i="1"/>
  <c r="P475" i="1"/>
  <c r="F170" i="1"/>
  <c r="P78" i="2"/>
  <c r="M42" i="2"/>
  <c r="P235" i="1"/>
  <c r="D295" i="1"/>
  <c r="M263" i="1"/>
  <c r="O24" i="2"/>
  <c r="P4" i="2"/>
  <c r="J76" i="2"/>
  <c r="E56" i="2"/>
  <c r="L299" i="1"/>
  <c r="Z344" i="1"/>
  <c r="Q32" i="2"/>
  <c r="AE44" i="2"/>
  <c r="N261" i="1"/>
  <c r="H66" i="2"/>
  <c r="X20" i="2"/>
  <c r="F25" i="1"/>
  <c r="N373" i="1"/>
  <c r="AF55" i="2"/>
  <c r="R38" i="2"/>
  <c r="G103" i="2"/>
  <c r="AD24" i="2"/>
  <c r="AA393" i="1"/>
  <c r="Q52" i="2"/>
  <c r="T52" i="2"/>
  <c r="O16" i="2"/>
  <c r="A92" i="2"/>
  <c r="F73" i="2"/>
  <c r="O15" i="2"/>
  <c r="Z46" i="1"/>
  <c r="F350" i="1"/>
  <c r="I478" i="1"/>
  <c r="M429" i="1"/>
  <c r="E463" i="1"/>
  <c r="T421" i="1"/>
  <c r="N456" i="1"/>
  <c r="R172" i="1"/>
  <c r="E370" i="1"/>
  <c r="H98" i="2"/>
  <c r="D248" i="1"/>
  <c r="F92" i="2"/>
  <c r="N90" i="2"/>
  <c r="D314" i="1"/>
  <c r="D88" i="2"/>
  <c r="D371" i="1"/>
  <c r="G453" i="1"/>
  <c r="J80" i="2"/>
  <c r="T208" i="1"/>
  <c r="N23" i="2"/>
  <c r="Q449" i="1"/>
  <c r="P47" i="1"/>
  <c r="W97" i="2"/>
  <c r="N24" i="2"/>
  <c r="F463" i="1"/>
  <c r="A13" i="2"/>
  <c r="F168" i="1"/>
  <c r="E78" i="2"/>
  <c r="N43" i="2"/>
  <c r="AE83" i="2"/>
  <c r="AE84" i="2"/>
  <c r="AE55" i="2"/>
  <c r="S30" i="1"/>
  <c r="R87" i="2"/>
  <c r="N44" i="2"/>
  <c r="P110" i="2"/>
  <c r="G423" i="1"/>
  <c r="L255" i="1"/>
  <c r="S114" i="1"/>
  <c r="O95" i="2"/>
  <c r="G171" i="1"/>
  <c r="R58" i="2"/>
  <c r="N360" i="1"/>
  <c r="Z172" i="1"/>
  <c r="N92" i="1"/>
  <c r="S31" i="2"/>
  <c r="F91" i="2"/>
  <c r="AD29" i="2"/>
  <c r="T11" i="2"/>
  <c r="D54" i="2"/>
  <c r="AA504" i="1"/>
  <c r="Z324" i="1"/>
  <c r="G50" i="1"/>
  <c r="G97" i="2"/>
  <c r="A12" i="2"/>
  <c r="T3" i="2"/>
  <c r="R56" i="2"/>
  <c r="X2" i="2"/>
  <c r="P61" i="2"/>
  <c r="V46" i="2"/>
  <c r="AB196" i="1"/>
  <c r="J86" i="2"/>
  <c r="H56" i="2"/>
  <c r="P240" i="1"/>
  <c r="S90" i="1"/>
  <c r="I368" i="1"/>
  <c r="W102" i="2"/>
  <c r="O4" i="2"/>
  <c r="E366" i="1"/>
  <c r="U108" i="2"/>
  <c r="T68" i="2"/>
  <c r="A102" i="2"/>
  <c r="S101" i="2"/>
  <c r="Q248" i="1"/>
  <c r="T59" i="1"/>
  <c r="AE73" i="2"/>
  <c r="AA416" i="1"/>
  <c r="AA412" i="1"/>
  <c r="AA328" i="1"/>
  <c r="R284" i="1"/>
  <c r="M284" i="1"/>
  <c r="R283" i="1"/>
  <c r="M283" i="1"/>
  <c r="R282" i="1"/>
  <c r="M282" i="1"/>
  <c r="R281" i="1"/>
  <c r="M281" i="1"/>
  <c r="R280" i="1"/>
  <c r="M280" i="1"/>
  <c r="R279" i="1"/>
  <c r="M279" i="1"/>
  <c r="R277" i="1"/>
  <c r="M277" i="1"/>
  <c r="R276" i="1"/>
  <c r="M276" i="1"/>
  <c r="AA474" i="1"/>
  <c r="AA272" i="1"/>
  <c r="AA436" i="1"/>
  <c r="AA437" i="1"/>
  <c r="AA126" i="1"/>
  <c r="F124" i="1"/>
  <c r="S124" i="1"/>
  <c r="M124" i="1"/>
  <c r="G124" i="1"/>
  <c r="AA422" i="1"/>
  <c r="AA420" i="1"/>
  <c r="AA442" i="1"/>
  <c r="AG104" i="2"/>
  <c r="AG100" i="2"/>
  <c r="AD104" i="2"/>
  <c r="AF50" i="2"/>
  <c r="F453" i="1"/>
  <c r="W42" i="2"/>
  <c r="AG93" i="2"/>
  <c r="G210" i="1"/>
  <c r="D50" i="2"/>
  <c r="E88" i="2"/>
  <c r="F37" i="1"/>
  <c r="M84" i="2"/>
  <c r="S37" i="2"/>
  <c r="V26" i="2"/>
  <c r="AE40" i="2"/>
  <c r="F33" i="2"/>
  <c r="M129" i="1"/>
  <c r="M9" i="1"/>
  <c r="M123" i="1"/>
  <c r="A8" i="2"/>
  <c r="AD14" i="2"/>
  <c r="AF94" i="2"/>
  <c r="Q453" i="1"/>
  <c r="J88" i="2"/>
  <c r="I101" i="1"/>
  <c r="M151" i="1"/>
  <c r="I350" i="1"/>
  <c r="T94" i="2"/>
  <c r="AE94" i="2"/>
  <c r="P69" i="2"/>
  <c r="O262" i="1"/>
  <c r="I193" i="1"/>
  <c r="P370" i="1"/>
  <c r="S486" i="1"/>
  <c r="E47" i="2"/>
  <c r="R129" i="1"/>
  <c r="P33" i="2"/>
  <c r="N467" i="1"/>
  <c r="N84" i="2"/>
  <c r="R432" i="1"/>
  <c r="M418" i="1"/>
  <c r="G26" i="2"/>
  <c r="W98" i="2"/>
  <c r="T442" i="1"/>
  <c r="A58" i="2"/>
  <c r="J12" i="2"/>
  <c r="P1" i="2"/>
  <c r="E129" i="1"/>
  <c r="O33" i="2"/>
  <c r="G102" i="2"/>
  <c r="P289" i="1"/>
  <c r="W106" i="2"/>
  <c r="S22" i="2"/>
  <c r="J64" i="2"/>
  <c r="P388" i="1"/>
  <c r="Q107" i="2"/>
  <c r="W64" i="2"/>
  <c r="I49" i="1"/>
  <c r="W56" i="2"/>
  <c r="T101" i="2"/>
  <c r="N171" i="1"/>
  <c r="G61" i="2"/>
  <c r="V54" i="2"/>
  <c r="Z490" i="1"/>
  <c r="AJ93" i="2"/>
  <c r="AG34" i="2"/>
  <c r="A104" i="2"/>
  <c r="Z114" i="1"/>
  <c r="R506" i="1"/>
  <c r="O87" i="2"/>
  <c r="T315" i="1"/>
  <c r="Z239" i="1"/>
  <c r="AE12" i="2"/>
  <c r="D63" i="2"/>
  <c r="T161" i="1"/>
  <c r="R34" i="1"/>
  <c r="Z389" i="1"/>
  <c r="W100" i="2"/>
  <c r="Z493" i="1"/>
  <c r="D66" i="2"/>
  <c r="E47" i="1"/>
  <c r="O98" i="2"/>
  <c r="H20" i="2"/>
  <c r="D448" i="1"/>
  <c r="S201" i="1"/>
  <c r="R15" i="2"/>
  <c r="W79" i="2"/>
  <c r="G105" i="2"/>
  <c r="J50" i="2"/>
  <c r="G355" i="1"/>
  <c r="X68" i="2"/>
  <c r="I197" i="1"/>
  <c r="N178" i="1"/>
  <c r="G53" i="2"/>
  <c r="P369" i="1"/>
  <c r="F94" i="2"/>
  <c r="E91" i="2"/>
  <c r="P278" i="1"/>
  <c r="S87" i="2"/>
  <c r="P13" i="2"/>
  <c r="O18" i="2"/>
  <c r="I423" i="1"/>
  <c r="L250" i="1"/>
  <c r="F13" i="2"/>
  <c r="X13" i="2"/>
  <c r="AE31" i="2"/>
  <c r="X82" i="2"/>
  <c r="W110" i="2"/>
  <c r="T222" i="1"/>
  <c r="N72" i="1"/>
  <c r="AB89" i="2"/>
  <c r="P93" i="2"/>
  <c r="A9" i="2"/>
  <c r="N99" i="2"/>
  <c r="V43" i="2"/>
  <c r="G386" i="1"/>
  <c r="D463" i="1"/>
  <c r="C389" i="1"/>
  <c r="AD76" i="2"/>
  <c r="U28" i="2"/>
  <c r="L433" i="1"/>
  <c r="X3" i="2"/>
  <c r="F201" i="1"/>
  <c r="I533" i="1"/>
  <c r="D195" i="1"/>
  <c r="AA77" i="1"/>
  <c r="E526" i="1"/>
  <c r="S213" i="1"/>
  <c r="AE21" i="2"/>
  <c r="AE54" i="2"/>
  <c r="T85" i="2"/>
  <c r="AA235" i="1"/>
  <c r="F464" i="1"/>
  <c r="D13" i="1"/>
  <c r="N15" i="2"/>
  <c r="D106" i="2"/>
  <c r="V76" i="2"/>
  <c r="G137" i="1"/>
  <c r="D276" i="1"/>
  <c r="S198" i="1"/>
  <c r="N77" i="2"/>
  <c r="AD39" i="2"/>
  <c r="G397" i="1"/>
  <c r="AA380" i="1"/>
  <c r="G532" i="1"/>
  <c r="F420" i="1"/>
  <c r="AE6" i="2"/>
  <c r="AE52" i="2"/>
  <c r="N93" i="2"/>
  <c r="E386" i="1"/>
  <c r="D1" i="2"/>
  <c r="N474" i="1"/>
  <c r="AA417" i="1"/>
  <c r="AA413" i="1"/>
  <c r="AB328" i="1"/>
  <c r="Z284" i="1"/>
  <c r="S284" i="1"/>
  <c r="N284" i="1"/>
  <c r="Z283" i="1"/>
  <c r="S283" i="1"/>
  <c r="N283" i="1"/>
  <c r="Z282" i="1"/>
  <c r="S282" i="1"/>
  <c r="N282" i="1"/>
  <c r="Z281" i="1"/>
  <c r="S281" i="1"/>
  <c r="N281" i="1"/>
  <c r="Z280" i="1"/>
  <c r="S280" i="1"/>
  <c r="N280" i="1"/>
  <c r="Z279" i="1"/>
  <c r="S279" i="1"/>
  <c r="N279" i="1"/>
  <c r="Z277" i="1"/>
  <c r="S277" i="1"/>
  <c r="N277" i="1"/>
  <c r="Z276" i="1"/>
  <c r="S276" i="1"/>
  <c r="N276" i="1"/>
  <c r="AA278" i="1"/>
  <c r="AA100" i="1"/>
  <c r="AA288" i="1"/>
  <c r="T124" i="1"/>
  <c r="N124" i="1"/>
  <c r="AG101" i="2"/>
  <c r="AD102" i="2"/>
  <c r="AD99" i="2"/>
  <c r="R60" i="1"/>
  <c r="Q289" i="1"/>
  <c r="AB150" i="1"/>
  <c r="AA350" i="1"/>
  <c r="G178" i="1"/>
  <c r="M103" i="1"/>
  <c r="G223" i="1"/>
  <c r="S306" i="1"/>
  <c r="A79" i="2"/>
  <c r="H58" i="2"/>
  <c r="G221" i="1"/>
  <c r="L46" i="1"/>
  <c r="F28" i="2"/>
  <c r="N495" i="1"/>
  <c r="I3" i="1"/>
  <c r="V13" i="2"/>
  <c r="AE77" i="2"/>
  <c r="P193" i="1"/>
  <c r="W94" i="2"/>
  <c r="O68" i="2"/>
  <c r="D35" i="2"/>
  <c r="P45" i="2"/>
  <c r="V7" i="2"/>
  <c r="L151" i="1"/>
  <c r="A38" i="2"/>
  <c r="P306" i="1"/>
  <c r="G92" i="2"/>
  <c r="Q521" i="1"/>
  <c r="AD13" i="2"/>
  <c r="A77" i="2"/>
  <c r="G357" i="1"/>
  <c r="AB377" i="1"/>
  <c r="M59" i="2"/>
  <c r="X59" i="2"/>
  <c r="I337" i="1"/>
  <c r="N423" i="1"/>
  <c r="Z199" i="1"/>
  <c r="AA507" i="1"/>
  <c r="AD15" i="2"/>
  <c r="AA477" i="1"/>
  <c r="T13" i="1"/>
  <c r="N478" i="1"/>
  <c r="I223" i="1"/>
  <c r="O35" i="1"/>
  <c r="H65" i="2"/>
  <c r="M109" i="1"/>
  <c r="R195" i="1"/>
  <c r="S123" i="1"/>
  <c r="N87" i="2"/>
  <c r="O27" i="2"/>
  <c r="R43" i="1"/>
  <c r="J61" i="2"/>
  <c r="D7" i="1"/>
  <c r="M66" i="1"/>
  <c r="AE98" i="2"/>
  <c r="F297" i="1"/>
  <c r="AE76" i="2"/>
  <c r="Q122" i="1"/>
  <c r="F507" i="1"/>
  <c r="S250" i="1"/>
  <c r="D279" i="1"/>
  <c r="Q99" i="2"/>
  <c r="D224" i="1"/>
  <c r="T38" i="2"/>
  <c r="L117" i="1"/>
  <c r="AF71" i="2"/>
  <c r="N19" i="2"/>
  <c r="D232" i="1"/>
  <c r="S508" i="1"/>
  <c r="M63" i="2"/>
  <c r="W81" i="2"/>
  <c r="R379" i="1"/>
  <c r="N109" i="2"/>
  <c r="AG53" i="2"/>
  <c r="J95" i="2"/>
  <c r="Q55" i="2"/>
  <c r="Q504" i="1"/>
  <c r="D17" i="2"/>
  <c r="T193" i="1"/>
  <c r="L164" i="1"/>
  <c r="F39" i="2"/>
  <c r="T24" i="1"/>
  <c r="F86" i="2"/>
  <c r="S72" i="1"/>
  <c r="D269" i="1"/>
  <c r="I405" i="1"/>
  <c r="F253" i="1"/>
  <c r="F347" i="1"/>
  <c r="N20" i="2"/>
  <c r="O457" i="1"/>
  <c r="M64" i="2"/>
  <c r="J10" i="2"/>
  <c r="T75" i="2"/>
  <c r="H29" i="2"/>
  <c r="F84" i="2"/>
  <c r="Z351" i="1"/>
  <c r="Q72" i="2"/>
  <c r="G128" i="1"/>
  <c r="E99" i="2"/>
  <c r="P97" i="1"/>
  <c r="S65" i="2"/>
  <c r="D95" i="1"/>
  <c r="G216" i="1"/>
  <c r="O51" i="2"/>
  <c r="R79" i="2"/>
  <c r="H105" i="2"/>
  <c r="AE4" i="2"/>
  <c r="S17" i="2"/>
  <c r="T108" i="1"/>
  <c r="N60" i="1"/>
  <c r="AB237" i="1"/>
  <c r="D107" i="1"/>
  <c r="O37" i="2"/>
  <c r="R478" i="1"/>
  <c r="I136" i="1"/>
  <c r="F14" i="2"/>
  <c r="U79" i="2"/>
  <c r="AE10" i="2"/>
  <c r="X21" i="2"/>
  <c r="O97" i="2"/>
  <c r="T319" i="1"/>
  <c r="AD92" i="2"/>
  <c r="AA457" i="1"/>
  <c r="N47" i="1"/>
  <c r="T107" i="2"/>
  <c r="D77" i="2"/>
  <c r="G197" i="1"/>
  <c r="X4" i="2"/>
  <c r="AD98" i="2"/>
  <c r="F130" i="1"/>
  <c r="A14" i="2"/>
  <c r="P14" i="2"/>
  <c r="P481" i="1"/>
  <c r="T13" i="2"/>
  <c r="N71" i="2"/>
  <c r="AA418" i="1"/>
  <c r="AA414" i="1"/>
  <c r="AA513" i="1"/>
  <c r="AA284" i="1"/>
  <c r="T284" i="1"/>
  <c r="P284" i="1"/>
  <c r="AA283" i="1"/>
  <c r="T283" i="1"/>
  <c r="P283" i="1"/>
  <c r="AA282" i="1"/>
  <c r="T282" i="1"/>
  <c r="P282" i="1"/>
  <c r="AA281" i="1"/>
  <c r="T281" i="1"/>
  <c r="P281" i="1"/>
  <c r="AA280" i="1"/>
  <c r="T280" i="1"/>
  <c r="P280" i="1"/>
  <c r="AA279" i="1"/>
  <c r="T279" i="1"/>
  <c r="P279" i="1"/>
  <c r="AA277" i="1"/>
  <c r="T277" i="1"/>
  <c r="P277" i="1"/>
  <c r="AA276" i="1"/>
  <c r="T276" i="1"/>
  <c r="P276" i="1"/>
  <c r="Z278" i="1"/>
  <c r="AA101" i="1"/>
  <c r="AA289" i="1"/>
  <c r="AA438" i="1"/>
  <c r="AA200" i="1"/>
  <c r="AA255" i="1"/>
  <c r="AA125" i="1"/>
  <c r="Q124" i="1"/>
  <c r="I124" i="1"/>
  <c r="AA423" i="1"/>
  <c r="AA421" i="1"/>
  <c r="AA473" i="1"/>
  <c r="AA441" i="1"/>
  <c r="AG102" i="2"/>
  <c r="AD103" i="2"/>
  <c r="AD100" i="2"/>
  <c r="L289" i="1"/>
  <c r="A66" i="2"/>
  <c r="D272" i="1"/>
  <c r="H55" i="2"/>
  <c r="T108" i="2"/>
  <c r="G29" i="2"/>
  <c r="M46" i="1"/>
  <c r="X72" i="2"/>
  <c r="I181" i="1"/>
  <c r="D28" i="2"/>
  <c r="Z374" i="1"/>
  <c r="V78" i="2"/>
  <c r="Z465" i="1"/>
  <c r="X57" i="2"/>
  <c r="T65" i="2"/>
  <c r="T73" i="2"/>
  <c r="I317" i="1"/>
  <c r="T128" i="1"/>
  <c r="W21" i="2"/>
  <c r="J58" i="2"/>
  <c r="D288" i="1"/>
  <c r="W108" i="2"/>
  <c r="N98" i="2"/>
  <c r="W73" i="2"/>
  <c r="D329" i="1"/>
  <c r="J84" i="2"/>
  <c r="F352" i="1"/>
  <c r="T47" i="2"/>
  <c r="L168" i="1"/>
  <c r="R5" i="1"/>
  <c r="V40" i="2"/>
  <c r="I30" i="1"/>
  <c r="D74" i="2"/>
  <c r="X110" i="2"/>
  <c r="S93" i="2"/>
  <c r="W71" i="2"/>
  <c r="R310" i="1"/>
  <c r="T290" i="1"/>
  <c r="T306" i="1"/>
  <c r="U89" i="2"/>
  <c r="S89" i="2"/>
  <c r="F36" i="2"/>
  <c r="O38" i="2"/>
  <c r="H94" i="2"/>
  <c r="P152" i="1"/>
  <c r="W80" i="2"/>
  <c r="P31" i="2"/>
  <c r="U102" i="2"/>
  <c r="A17" i="2"/>
  <c r="S3" i="1"/>
  <c r="O101" i="2"/>
  <c r="P85" i="2"/>
  <c r="W38" i="2"/>
  <c r="S95" i="1"/>
  <c r="F6" i="2"/>
  <c r="AG3" i="2"/>
  <c r="AE71" i="2"/>
  <c r="W16" i="2"/>
  <c r="D256" i="1"/>
  <c r="X50" i="2"/>
  <c r="P81" i="2"/>
  <c r="Q310" i="1"/>
  <c r="E249" i="1"/>
  <c r="J34" i="2"/>
  <c r="AA164" i="1"/>
  <c r="S320" i="1"/>
  <c r="G146" i="1"/>
  <c r="Z392" i="1"/>
  <c r="R24" i="2"/>
  <c r="J91" i="2"/>
  <c r="M230" i="1"/>
  <c r="T70" i="2"/>
  <c r="W3" i="2"/>
  <c r="N29" i="2"/>
  <c r="F52" i="2"/>
  <c r="G58" i="2"/>
  <c r="E72" i="2"/>
  <c r="AA22" i="1"/>
  <c r="L339" i="1"/>
  <c r="G501" i="1"/>
  <c r="AG36" i="2"/>
  <c r="S95" i="2"/>
  <c r="C318" i="1"/>
  <c r="R161" i="1"/>
  <c r="E45" i="1"/>
  <c r="J66" i="2"/>
  <c r="Q54" i="2"/>
  <c r="V101" i="2"/>
  <c r="O55" i="2"/>
  <c r="I128" i="1"/>
  <c r="AB91" i="2"/>
  <c r="A33" i="2"/>
  <c r="AB34" i="2"/>
  <c r="L200" i="1"/>
  <c r="U32" i="2"/>
  <c r="P263" i="1"/>
  <c r="P44" i="1"/>
  <c r="E6" i="1"/>
  <c r="P40" i="2"/>
  <c r="D87" i="2"/>
  <c r="AB468" i="1"/>
  <c r="Z365" i="1"/>
  <c r="V17" i="2"/>
  <c r="AA223" i="1"/>
  <c r="P28" i="1"/>
  <c r="Q57" i="2"/>
  <c r="AE75" i="2"/>
  <c r="J89" i="2"/>
  <c r="J90" i="2"/>
  <c r="J69" i="2"/>
  <c r="AA521" i="1"/>
  <c r="S356" i="1"/>
  <c r="F30" i="2"/>
  <c r="P67" i="2"/>
  <c r="V20" i="2"/>
  <c r="G56" i="2"/>
  <c r="G60" i="2"/>
  <c r="AB380" i="1"/>
  <c r="S47" i="2"/>
  <c r="AB375" i="1"/>
  <c r="L39" i="1"/>
  <c r="R193" i="1"/>
  <c r="AA57" i="1"/>
  <c r="A81" i="2"/>
  <c r="S311" i="1"/>
  <c r="G131" i="1"/>
  <c r="AG20" i="2"/>
  <c r="N28" i="1"/>
  <c r="M10" i="2"/>
  <c r="D200" i="1"/>
  <c r="W24" i="2"/>
  <c r="O22" i="2"/>
  <c r="E76" i="2"/>
  <c r="O102" i="2"/>
  <c r="S62" i="2"/>
  <c r="X45" i="2"/>
  <c r="R88" i="2"/>
  <c r="U101" i="2"/>
  <c r="W13" i="2"/>
  <c r="L130" i="1"/>
  <c r="O82" i="2"/>
  <c r="T500" i="1"/>
  <c r="M223" i="1"/>
  <c r="V33" i="2"/>
  <c r="F311" i="1"/>
  <c r="A49" i="2"/>
  <c r="E40" i="2"/>
  <c r="AG9" i="2"/>
  <c r="X55" i="2"/>
  <c r="A59" i="2"/>
  <c r="AB32" i="2"/>
  <c r="Q100" i="2"/>
  <c r="Q513" i="1"/>
  <c r="D24" i="2"/>
  <c r="Q59" i="1"/>
  <c r="G3" i="2"/>
  <c r="AE9" i="2"/>
  <c r="F150" i="1"/>
  <c r="X102" i="2"/>
  <c r="V112" i="2"/>
  <c r="S219" i="1"/>
  <c r="G168" i="1"/>
  <c r="T301" i="1"/>
  <c r="D253" i="1"/>
  <c r="S27" i="2"/>
  <c r="T333" i="1"/>
  <c r="P55" i="2"/>
  <c r="R92" i="1"/>
  <c r="S379" i="1"/>
  <c r="L60" i="1"/>
  <c r="G283" i="1"/>
  <c r="T389" i="1"/>
  <c r="J31" i="2"/>
  <c r="H59" i="2"/>
  <c r="G145" i="1"/>
  <c r="X332" i="1"/>
  <c r="A109" i="2"/>
  <c r="T429" i="1"/>
  <c r="D326" i="1"/>
  <c r="E66" i="2"/>
  <c r="T36" i="2"/>
  <c r="X47" i="1"/>
  <c r="Q7" i="1"/>
  <c r="V30" i="2"/>
  <c r="AD40" i="2"/>
  <c r="AF74" i="2"/>
  <c r="D60" i="1"/>
  <c r="Q1" i="1"/>
  <c r="G526" i="1"/>
  <c r="P365" i="1"/>
  <c r="J63" i="2"/>
  <c r="J3" i="2"/>
  <c r="T60" i="2"/>
  <c r="AB373" i="1"/>
  <c r="E146" i="1"/>
  <c r="M69" i="2"/>
  <c r="M76" i="2"/>
  <c r="E36" i="2"/>
  <c r="V44" i="2"/>
  <c r="L203" i="1"/>
  <c r="F197" i="1"/>
  <c r="I429" i="1"/>
  <c r="Z491" i="1"/>
  <c r="Z362" i="1"/>
  <c r="I449" i="1"/>
  <c r="M512" i="1"/>
  <c r="S70" i="2"/>
  <c r="AB182" i="1"/>
  <c r="AA386" i="1"/>
  <c r="D411" i="1"/>
  <c r="AB403" i="1"/>
  <c r="G113" i="1"/>
  <c r="A28" i="2"/>
  <c r="AD71" i="2"/>
  <c r="AB379" i="1"/>
  <c r="P18" i="2"/>
  <c r="AA430" i="1"/>
  <c r="S10" i="2"/>
  <c r="E304" i="1"/>
  <c r="J23" i="2"/>
  <c r="I370" i="1"/>
  <c r="S78" i="2"/>
  <c r="G130" i="1"/>
  <c r="R306" i="1"/>
  <c r="M109" i="2"/>
  <c r="O295" i="1"/>
  <c r="F16" i="2"/>
  <c r="Z28" i="1"/>
  <c r="E110" i="1"/>
  <c r="AB495" i="1"/>
  <c r="N317" i="1"/>
  <c r="I284" i="1"/>
  <c r="T97" i="2"/>
  <c r="AA429" i="1"/>
  <c r="L204" i="1"/>
  <c r="R179" i="1"/>
  <c r="AF56" i="2"/>
  <c r="G362" i="1"/>
  <c r="G46" i="1"/>
  <c r="E485" i="1"/>
  <c r="Z303" i="1"/>
  <c r="I90" i="1"/>
  <c r="Q109" i="2"/>
  <c r="F9" i="2"/>
  <c r="D375" i="1"/>
  <c r="N152" i="1"/>
  <c r="P172" i="1"/>
  <c r="W503" i="1"/>
  <c r="Z354" i="1"/>
  <c r="P404" i="1"/>
  <c r="P450" i="1"/>
  <c r="Z357" i="1"/>
  <c r="E217" i="1"/>
  <c r="P111" i="1"/>
  <c r="Q34" i="2"/>
  <c r="U54" i="2"/>
  <c r="D481" i="1"/>
  <c r="G5" i="2"/>
  <c r="F45" i="1"/>
  <c r="G103" i="1"/>
  <c r="F368" i="1"/>
  <c r="R204" i="1"/>
  <c r="J85" i="2"/>
  <c r="I94" i="1"/>
  <c r="P28" i="2"/>
  <c r="J41" i="2"/>
  <c r="N174" i="1"/>
  <c r="T32" i="2"/>
  <c r="Q91" i="1"/>
  <c r="F107" i="2"/>
  <c r="P303" i="1"/>
  <c r="T325" i="1"/>
  <c r="X112" i="2"/>
  <c r="F392" i="1"/>
  <c r="D465" i="1"/>
  <c r="S408" i="1"/>
  <c r="I163" i="1"/>
  <c r="P432" i="1"/>
  <c r="M19" i="2"/>
  <c r="W61" i="2"/>
  <c r="AH40" i="2"/>
  <c r="Q338" i="1"/>
  <c r="D462" i="1"/>
  <c r="S83" i="2"/>
  <c r="N201" i="1"/>
  <c r="AF77" i="2"/>
  <c r="F3" i="2"/>
  <c r="G30" i="1"/>
  <c r="E66" i="1"/>
  <c r="O242" i="1"/>
  <c r="U2" i="2"/>
  <c r="AA226" i="1"/>
  <c r="T39" i="2"/>
  <c r="AA32" i="1"/>
  <c r="G7" i="2"/>
  <c r="Z316" i="1"/>
  <c r="G417" i="1"/>
  <c r="M339" i="1"/>
  <c r="M332" i="1"/>
  <c r="N470" i="1"/>
  <c r="W74" i="1"/>
  <c r="H67" i="2"/>
  <c r="U71" i="2"/>
  <c r="Q13" i="1"/>
  <c r="S100" i="1"/>
  <c r="Z148" i="1"/>
  <c r="G98" i="1"/>
  <c r="D348" i="1"/>
  <c r="G58" i="1"/>
  <c r="F427" i="1"/>
  <c r="P144" i="1"/>
  <c r="R374" i="1"/>
  <c r="E345" i="1"/>
  <c r="F64" i="2"/>
  <c r="E97" i="2"/>
  <c r="R26" i="1"/>
  <c r="AA382" i="1"/>
  <c r="E83" i="1"/>
  <c r="E13" i="2"/>
  <c r="M108" i="2"/>
  <c r="S354" i="1"/>
  <c r="J19" i="2"/>
  <c r="AE56" i="2"/>
  <c r="P169" i="1"/>
  <c r="AD33" i="2"/>
  <c r="AG83" i="2"/>
  <c r="P2" i="2"/>
  <c r="G38" i="2"/>
  <c r="A84" i="2"/>
  <c r="E24" i="2"/>
  <c r="O2" i="2"/>
  <c r="R406" i="1"/>
  <c r="R77" i="2"/>
  <c r="U47" i="2"/>
  <c r="S217" i="1"/>
  <c r="AF52" i="2"/>
  <c r="P48" i="2"/>
  <c r="D278" i="1"/>
  <c r="M181" i="1"/>
  <c r="A87" i="2"/>
  <c r="X99" i="2"/>
  <c r="R209" i="1"/>
  <c r="R144" i="1"/>
  <c r="S128" i="1"/>
  <c r="O63" i="2"/>
  <c r="T83" i="2"/>
  <c r="G17" i="2"/>
  <c r="F34" i="1"/>
  <c r="Q256" i="1"/>
  <c r="AD52" i="2"/>
  <c r="N57" i="1"/>
  <c r="AF18" i="2"/>
  <c r="U19" i="2"/>
  <c r="N51" i="2"/>
  <c r="G87" i="2"/>
  <c r="V58" i="2"/>
  <c r="T359" i="1"/>
  <c r="AB28" i="1"/>
  <c r="J83" i="2"/>
  <c r="P94" i="2"/>
  <c r="V82" i="2"/>
  <c r="AE51" i="2"/>
  <c r="G389" i="1"/>
  <c r="F11" i="2"/>
  <c r="P22" i="2"/>
  <c r="Z103" i="1"/>
  <c r="G267" i="1"/>
  <c r="H107" i="2"/>
  <c r="W46" i="2"/>
  <c r="R42" i="2"/>
  <c r="G420" i="1"/>
  <c r="W11" i="2"/>
  <c r="R248" i="1"/>
  <c r="X69" i="2"/>
  <c r="A71" i="2"/>
  <c r="L424" i="1"/>
  <c r="R367" i="1"/>
  <c r="AA8" i="1"/>
  <c r="Z523" i="1"/>
  <c r="A15" i="2"/>
  <c r="I307" i="1"/>
  <c r="AB331" i="1"/>
  <c r="AF57" i="2"/>
  <c r="L226" i="1"/>
  <c r="R208" i="1"/>
  <c r="F470" i="1"/>
  <c r="P148" i="1"/>
  <c r="N39" i="2"/>
  <c r="D31" i="2"/>
  <c r="E25" i="1"/>
  <c r="S50" i="2"/>
  <c r="E123" i="1"/>
  <c r="M9" i="2"/>
  <c r="T157" i="1"/>
  <c r="F219" i="1"/>
  <c r="Z197" i="1"/>
  <c r="D81" i="2"/>
  <c r="D283" i="1"/>
  <c r="L373" i="1"/>
  <c r="O205" i="1"/>
  <c r="N58" i="2"/>
  <c r="N103" i="2"/>
  <c r="G62" i="2"/>
  <c r="G65" i="2"/>
  <c r="P133" i="1"/>
  <c r="S391" i="1"/>
  <c r="AA403" i="1"/>
  <c r="A68" i="2"/>
  <c r="Z174" i="1"/>
  <c r="AG18" i="2"/>
  <c r="AB202" i="1"/>
  <c r="AB92" i="2"/>
  <c r="T45" i="1"/>
  <c r="P83" i="1"/>
  <c r="L260" i="1"/>
  <c r="Z462" i="1"/>
  <c r="F103" i="2"/>
  <c r="Q21" i="1"/>
  <c r="X91" i="2"/>
  <c r="M39" i="2"/>
  <c r="Q463" i="1"/>
  <c r="AA390" i="1"/>
  <c r="N132" i="1"/>
  <c r="M201" i="1"/>
  <c r="L196" i="1"/>
  <c r="AF38" i="2"/>
  <c r="Z32" i="1"/>
  <c r="M474" i="1"/>
  <c r="Q88" i="2"/>
  <c r="AA7" i="2"/>
  <c r="AA36" i="1"/>
  <c r="G61" i="1"/>
  <c r="U82" i="2"/>
  <c r="Q357" i="1"/>
  <c r="Z464" i="1"/>
  <c r="Q460" i="1"/>
  <c r="E423" i="1"/>
  <c r="D162" i="1"/>
  <c r="P92" i="2"/>
  <c r="AG19" i="2"/>
  <c r="G72" i="2"/>
  <c r="R10" i="2"/>
  <c r="M103" i="2"/>
  <c r="D238" i="1"/>
  <c r="T186" i="1"/>
  <c r="R18" i="1"/>
  <c r="R27" i="2"/>
  <c r="D479" i="1"/>
  <c r="T506" i="1"/>
  <c r="D36" i="2"/>
  <c r="S248" i="1"/>
  <c r="D69" i="2"/>
  <c r="S463" i="1"/>
  <c r="E37" i="2"/>
  <c r="AD91" i="2"/>
  <c r="L418" i="1"/>
  <c r="P77" i="2"/>
  <c r="D498" i="1"/>
  <c r="H3" i="2"/>
  <c r="F88" i="2"/>
  <c r="H9" i="2"/>
  <c r="F82" i="2"/>
  <c r="U10" i="2"/>
  <c r="P522" i="1"/>
  <c r="D456" i="1"/>
  <c r="L15" i="1"/>
  <c r="P374" i="1"/>
  <c r="A18" i="2"/>
  <c r="T86" i="2"/>
  <c r="R48" i="1"/>
  <c r="P66" i="2"/>
  <c r="F38" i="1"/>
  <c r="AB461" i="1"/>
  <c r="AE33" i="2"/>
  <c r="J21" i="2"/>
  <c r="E89" i="2"/>
  <c r="AJ97" i="2"/>
  <c r="Q526" i="1"/>
  <c r="G19" i="2"/>
  <c r="M148" i="1"/>
  <c r="M108" i="1"/>
  <c r="F62" i="2"/>
  <c r="G77" i="2"/>
  <c r="G224" i="1"/>
  <c r="E214" i="1"/>
  <c r="M120" i="1"/>
  <c r="V63" i="2"/>
  <c r="W52" i="2"/>
  <c r="T22" i="2"/>
  <c r="T227" i="1"/>
  <c r="Z479" i="1"/>
  <c r="I62" i="1"/>
  <c r="X84" i="2"/>
  <c r="R521" i="1"/>
  <c r="N100" i="2"/>
  <c r="AB508" i="1"/>
  <c r="I72" i="1"/>
  <c r="P147" i="1"/>
  <c r="AG57" i="2"/>
  <c r="P43" i="2"/>
  <c r="D350" i="1"/>
  <c r="F531" i="1"/>
  <c r="S109" i="2"/>
  <c r="V85" i="2"/>
  <c r="H5" i="2"/>
  <c r="Q252" i="1"/>
  <c r="L316" i="1"/>
  <c r="R11" i="1"/>
  <c r="Q398" i="1"/>
  <c r="M486" i="1"/>
  <c r="F514" i="1"/>
  <c r="D46" i="2"/>
  <c r="I465" i="1"/>
  <c r="S367" i="1"/>
  <c r="A73" i="2"/>
  <c r="E79" i="2"/>
  <c r="AE35" i="2"/>
  <c r="F152" i="1"/>
  <c r="R467" i="1"/>
  <c r="P195" i="1"/>
  <c r="AD93" i="2"/>
  <c r="AD79" i="2"/>
  <c r="J29" i="2"/>
  <c r="W77" i="2"/>
  <c r="H64" i="2"/>
  <c r="AJ94" i="2"/>
  <c r="Q73" i="2"/>
  <c r="S88" i="2"/>
  <c r="T170" i="1"/>
  <c r="N27" i="1"/>
  <c r="T50" i="2"/>
  <c r="V47" i="2"/>
  <c r="L402" i="1"/>
  <c r="O56" i="2"/>
  <c r="Q103" i="2"/>
  <c r="P105" i="2"/>
  <c r="F282" i="1"/>
  <c r="A103" i="2"/>
  <c r="N18" i="2"/>
  <c r="Z367" i="1"/>
  <c r="H50" i="2"/>
  <c r="A65" i="2"/>
  <c r="AA196" i="1"/>
  <c r="O532" i="1"/>
  <c r="Z494" i="1"/>
  <c r="L448" i="1"/>
  <c r="T67" i="2"/>
  <c r="T168" i="1"/>
  <c r="F216" i="1"/>
  <c r="O347" i="1"/>
  <c r="T36" i="1"/>
  <c r="G20" i="2"/>
  <c r="G102" i="1"/>
  <c r="AG13" i="2"/>
  <c r="N534" i="1"/>
  <c r="Q388" i="1"/>
  <c r="F436" i="1"/>
  <c r="U4" i="2"/>
  <c r="F362" i="1"/>
  <c r="W41" i="2"/>
  <c r="AB376" i="1"/>
  <c r="D97" i="2"/>
  <c r="I289" i="1"/>
  <c r="V69" i="2"/>
  <c r="R126" i="1"/>
  <c r="O57" i="2"/>
  <c r="N37" i="2"/>
  <c r="E427" i="1"/>
  <c r="U80" i="2"/>
  <c r="AA203" i="1"/>
  <c r="O357" i="1"/>
  <c r="T100" i="2"/>
  <c r="N186" i="1"/>
  <c r="P84" i="1"/>
  <c r="F26" i="1"/>
  <c r="L214" i="1"/>
  <c r="R148" i="1"/>
  <c r="S461" i="1"/>
  <c r="F189" i="1"/>
  <c r="F267" i="1"/>
  <c r="A57" i="2"/>
  <c r="Q134" i="1"/>
  <c r="X28" i="2"/>
  <c r="G281" i="1"/>
  <c r="R336" i="1"/>
  <c r="P82" i="2"/>
  <c r="I239" i="1"/>
  <c r="L79" i="1"/>
  <c r="F373" i="1"/>
  <c r="U45" i="2"/>
  <c r="R36" i="2"/>
  <c r="T155" i="1"/>
  <c r="E240" i="1"/>
  <c r="F185" i="1"/>
  <c r="S40" i="1"/>
  <c r="S53" i="2"/>
  <c r="G422" i="1"/>
  <c r="M424" i="1"/>
  <c r="N96" i="2"/>
  <c r="J33" i="2"/>
  <c r="AD56" i="2"/>
  <c r="F19" i="2"/>
  <c r="D29" i="1"/>
  <c r="AF73" i="2"/>
  <c r="N21" i="1"/>
  <c r="T458" i="1"/>
  <c r="J35" i="2"/>
  <c r="AB239" i="1"/>
  <c r="G456" i="1"/>
  <c r="AA357" i="1"/>
  <c r="L367" i="1"/>
  <c r="L75" i="1"/>
  <c r="M36" i="2"/>
  <c r="Z10" i="1"/>
  <c r="D72" i="2"/>
  <c r="M21" i="1"/>
  <c r="S41" i="2"/>
  <c r="P38" i="1"/>
  <c r="R199" i="1"/>
  <c r="D459" i="1"/>
  <c r="G96" i="1"/>
  <c r="R6" i="1"/>
  <c r="H25" i="2"/>
  <c r="E417" i="1"/>
  <c r="G289" i="1"/>
  <c r="N397" i="1"/>
  <c r="E7" i="1"/>
  <c r="O33" i="1"/>
  <c r="O7" i="2"/>
  <c r="AB399" i="1"/>
  <c r="F90" i="2"/>
  <c r="O113" i="1"/>
  <c r="N42" i="2"/>
  <c r="M354" i="1"/>
  <c r="O413" i="1"/>
  <c r="Q191" i="1"/>
  <c r="M256" i="1"/>
  <c r="S78" i="1"/>
  <c r="F105" i="2"/>
  <c r="J107" i="2"/>
  <c r="Q19" i="2"/>
  <c r="P354" i="1"/>
  <c r="T331" i="1"/>
  <c r="AA46" i="1"/>
  <c r="G95" i="2"/>
  <c r="E4" i="2"/>
  <c r="F290" i="1"/>
  <c r="AA25" i="1"/>
  <c r="Q218" i="1"/>
  <c r="L270" i="1"/>
  <c r="Q185" i="1"/>
  <c r="V110" i="2"/>
  <c r="P449" i="1"/>
  <c r="U12" i="2"/>
  <c r="M61" i="2"/>
  <c r="V24" i="2"/>
  <c r="H88" i="2"/>
  <c r="I421" i="1"/>
  <c r="H81" i="2"/>
  <c r="T77" i="2"/>
  <c r="AA168" i="1"/>
  <c r="F4" i="2"/>
  <c r="T268" i="1"/>
  <c r="Z205" i="1"/>
  <c r="H18" i="2"/>
  <c r="W513" i="1"/>
  <c r="E38" i="2"/>
  <c r="S86" i="2"/>
  <c r="Q140" i="1"/>
  <c r="D176" i="1"/>
  <c r="A107" i="2"/>
  <c r="N44" i="1"/>
  <c r="N80" i="1"/>
  <c r="AA153" i="1"/>
  <c r="I234" i="1"/>
  <c r="L358" i="1"/>
  <c r="V152" i="1"/>
  <c r="I458" i="1"/>
  <c r="P356" i="1"/>
  <c r="E201" i="1"/>
  <c r="N102" i="2"/>
  <c r="V3" i="2"/>
  <c r="N75" i="2"/>
  <c r="R117" i="1"/>
  <c r="H1" i="2"/>
  <c r="M15" i="1"/>
  <c r="Q382" i="1"/>
  <c r="S23" i="2"/>
  <c r="J74" i="2"/>
  <c r="Q262" i="1"/>
  <c r="AA402" i="1"/>
  <c r="O412" i="1"/>
  <c r="AE72" i="2"/>
  <c r="R171" i="1"/>
  <c r="P82" i="1"/>
  <c r="G484" i="1"/>
  <c r="M164" i="1"/>
  <c r="AB62" i="2"/>
  <c r="AB115" i="1"/>
  <c r="P94" i="1"/>
  <c r="T504" i="1"/>
  <c r="F259" i="1"/>
  <c r="O45" i="2"/>
  <c r="AA182" i="1"/>
  <c r="D32" i="2"/>
  <c r="AB110" i="1"/>
  <c r="M479" i="1"/>
  <c r="AB209" i="1"/>
  <c r="W25" i="2"/>
  <c r="L432" i="1"/>
  <c r="D274" i="1"/>
  <c r="D430" i="1"/>
  <c r="AA254" i="1"/>
  <c r="Q425" i="1"/>
  <c r="S72" i="2"/>
  <c r="J43" i="2"/>
  <c r="Q332" i="1"/>
  <c r="R493" i="1"/>
  <c r="V99" i="2"/>
  <c r="N354" i="1"/>
  <c r="AE74" i="2"/>
  <c r="L1" i="2"/>
  <c r="O14" i="2"/>
  <c r="O77" i="2"/>
  <c r="A72" i="2"/>
  <c r="N92" i="2"/>
  <c r="N107" i="2"/>
  <c r="G117" i="1"/>
  <c r="R55" i="2"/>
  <c r="S440" i="1"/>
  <c r="N56" i="2"/>
  <c r="G93" i="1"/>
  <c r="F106" i="2"/>
  <c r="V80" i="2"/>
  <c r="M112" i="1"/>
  <c r="L350" i="1"/>
  <c r="E381" i="1"/>
  <c r="N525" i="1"/>
  <c r="AE5" i="2"/>
  <c r="AH39" i="2"/>
  <c r="M369" i="1"/>
  <c r="X19" i="2"/>
  <c r="G163" i="1"/>
  <c r="Z380" i="1"/>
  <c r="R1" i="1"/>
  <c r="F61" i="2"/>
  <c r="A34" i="2"/>
  <c r="U15" i="2"/>
  <c r="S96" i="2"/>
  <c r="F288" i="1"/>
  <c r="X67" i="2"/>
  <c r="R1" i="2"/>
  <c r="F482" i="1"/>
  <c r="E35" i="1"/>
  <c r="M149" i="1"/>
  <c r="O23" i="2"/>
  <c r="S61" i="2"/>
  <c r="R23" i="2"/>
  <c r="Q91" i="2"/>
  <c r="X103" i="2"/>
  <c r="O204" i="1"/>
  <c r="I16" i="1"/>
  <c r="N185" i="1"/>
  <c r="S234" i="1"/>
  <c r="N105" i="2"/>
  <c r="P500" i="1"/>
  <c r="P12" i="1"/>
  <c r="B1" i="1"/>
  <c r="U109" i="2"/>
  <c r="F158" i="1"/>
  <c r="U151" i="1"/>
  <c r="I390" i="1"/>
  <c r="P62" i="2"/>
  <c r="U18" i="2"/>
  <c r="I333" i="1"/>
  <c r="U61" i="2"/>
  <c r="M25" i="2"/>
  <c r="N489" i="1"/>
  <c r="R94" i="2"/>
  <c r="S6" i="2"/>
  <c r="AA4" i="2"/>
  <c r="S146" i="1"/>
  <c r="R219" i="1"/>
  <c r="J42" i="2"/>
  <c r="Z5" i="1"/>
  <c r="P131" i="1"/>
  <c r="M78" i="2"/>
  <c r="R346" i="1"/>
  <c r="S85" i="2"/>
  <c r="P353" i="1"/>
  <c r="P366" i="1"/>
  <c r="D26" i="2"/>
  <c r="AB63" i="1"/>
  <c r="P87" i="2"/>
  <c r="P21" i="1"/>
  <c r="U72" i="2"/>
  <c r="AA353" i="1"/>
  <c r="S358" i="1"/>
  <c r="N508" i="1"/>
  <c r="H1" i="1"/>
  <c r="O214" i="1"/>
  <c r="G85" i="2"/>
  <c r="R27" i="1"/>
  <c r="G141" i="1"/>
  <c r="L4" i="1"/>
  <c r="E475" i="1"/>
  <c r="AB82" i="2"/>
  <c r="M85" i="2"/>
  <c r="F114" i="1"/>
  <c r="I230" i="1"/>
  <c r="G30" i="2"/>
  <c r="P330" i="1"/>
  <c r="G27" i="2"/>
  <c r="O63" i="1"/>
  <c r="Q128" i="1"/>
  <c r="G109" i="2"/>
  <c r="M196" i="1"/>
  <c r="T89" i="2"/>
  <c r="AB390" i="1"/>
  <c r="A75" i="2"/>
  <c r="G410" i="1"/>
  <c r="R371" i="1"/>
  <c r="M333" i="1"/>
  <c r="O30" i="2"/>
  <c r="R3" i="2"/>
  <c r="S80" i="2"/>
  <c r="M115" i="1"/>
  <c r="Q300" i="1"/>
  <c r="G300" i="1"/>
  <c r="N382" i="1"/>
  <c r="L267" i="1"/>
  <c r="T78" i="2"/>
  <c r="AE29" i="2"/>
  <c r="E43" i="2"/>
  <c r="I318" i="1"/>
  <c r="E28" i="2"/>
  <c r="AB61" i="1"/>
  <c r="E10" i="1"/>
  <c r="F81" i="2"/>
  <c r="S519" i="1"/>
  <c r="U105" i="2"/>
  <c r="R272" i="1"/>
  <c r="F108" i="1"/>
  <c r="A64" i="2"/>
  <c r="L348" i="1"/>
  <c r="W60" i="2"/>
  <c r="S76" i="2"/>
  <c r="R52" i="2"/>
  <c r="G360" i="1"/>
  <c r="Z373" i="1"/>
  <c r="A23" i="2"/>
  <c r="C336" i="1"/>
  <c r="O81" i="2"/>
  <c r="AF41" i="2"/>
  <c r="P6" i="1"/>
  <c r="S108" i="2"/>
  <c r="G100" i="2"/>
  <c r="AF37" i="2"/>
  <c r="P65" i="2"/>
  <c r="D367" i="1"/>
  <c r="S98" i="1"/>
  <c r="G164" i="1"/>
  <c r="T112" i="1"/>
  <c r="F87" i="2"/>
  <c r="E80" i="2"/>
  <c r="N40" i="2"/>
  <c r="D91" i="2"/>
  <c r="P344" i="1"/>
  <c r="M93" i="1"/>
  <c r="R241" i="1"/>
  <c r="D36" i="1"/>
  <c r="AA351" i="1"/>
  <c r="G83" i="2"/>
  <c r="H16" i="2"/>
  <c r="M234" i="1"/>
  <c r="T520" i="1"/>
  <c r="N142" i="1"/>
  <c r="E433" i="1"/>
  <c r="S49" i="2"/>
  <c r="S59" i="1"/>
  <c r="F10" i="1"/>
  <c r="V71" i="2"/>
  <c r="D79" i="2"/>
  <c r="M453" i="1"/>
  <c r="W66" i="2"/>
  <c r="D392" i="1"/>
  <c r="S499" i="1"/>
  <c r="F358" i="1"/>
  <c r="V59" i="2"/>
  <c r="Q170" i="1"/>
  <c r="Q418" i="1"/>
  <c r="Z375" i="1"/>
  <c r="M365" i="1"/>
  <c r="G157" i="1"/>
  <c r="M96" i="2"/>
  <c r="N38" i="2"/>
  <c r="M1" i="2"/>
  <c r="E106" i="2"/>
  <c r="S94" i="1"/>
  <c r="P470" i="1"/>
  <c r="O78" i="1"/>
  <c r="M194" i="1"/>
  <c r="AA205" i="1"/>
  <c r="X86" i="2"/>
  <c r="N88" i="2"/>
  <c r="F118" i="1"/>
  <c r="AB402" i="1"/>
  <c r="O215" i="1"/>
  <c r="R178" i="1"/>
  <c r="V155" i="1"/>
  <c r="I116" i="1"/>
  <c r="J27" i="2"/>
  <c r="S483" i="1"/>
  <c r="AA497" i="1"/>
  <c r="G439" i="1"/>
  <c r="P27" i="2"/>
  <c r="O46" i="2"/>
  <c r="M82" i="2"/>
  <c r="O66" i="2"/>
  <c r="E84" i="2"/>
  <c r="O39" i="2"/>
  <c r="I495" i="1"/>
  <c r="I398" i="1"/>
  <c r="D52" i="2"/>
  <c r="F148" i="1"/>
  <c r="I186" i="1"/>
  <c r="Z194" i="1"/>
  <c r="P41" i="2"/>
  <c r="AH77" i="2"/>
  <c r="D433" i="1"/>
  <c r="A50" i="2"/>
  <c r="S173" i="1"/>
  <c r="P225" i="1"/>
  <c r="I24" i="1"/>
  <c r="S75" i="2"/>
  <c r="P107" i="2"/>
  <c r="T519" i="1"/>
  <c r="W78" i="1"/>
  <c r="AD32" i="2"/>
  <c r="M105" i="2"/>
  <c r="U35" i="2"/>
  <c r="E195" i="1"/>
  <c r="N50" i="2"/>
  <c r="E44" i="2"/>
  <c r="G499" i="1"/>
  <c r="N533" i="1"/>
  <c r="T58" i="1"/>
  <c r="C26" i="1"/>
  <c r="W26" i="2"/>
  <c r="J49" i="2"/>
  <c r="R295" i="1"/>
  <c r="T123" i="1"/>
  <c r="V93" i="2"/>
  <c r="D396" i="1"/>
  <c r="L64" i="1"/>
  <c r="AB469" i="1"/>
  <c r="E225" i="1"/>
  <c r="S7" i="1"/>
  <c r="X61" i="2"/>
  <c r="T45" i="2"/>
  <c r="P227" i="1"/>
  <c r="G11" i="1"/>
  <c r="AD21" i="2"/>
  <c r="T116" i="1"/>
  <c r="R319" i="1"/>
  <c r="S157" i="1"/>
  <c r="Q24" i="2"/>
  <c r="M426" i="1"/>
  <c r="Z306" i="1"/>
  <c r="S181" i="1"/>
  <c r="L207" i="1"/>
  <c r="T62" i="1"/>
  <c r="D55" i="2"/>
  <c r="T489" i="1"/>
  <c r="I275" i="1"/>
  <c r="W84" i="2"/>
  <c r="D89" i="2"/>
  <c r="S63" i="2"/>
  <c r="F322" i="1"/>
  <c r="R92" i="2"/>
  <c r="G99" i="2"/>
  <c r="M107" i="1"/>
  <c r="O9" i="2"/>
  <c r="L521" i="1"/>
  <c r="Z29" i="1"/>
  <c r="AA354" i="1"/>
  <c r="N421" i="1"/>
  <c r="F317" i="1"/>
  <c r="AB130" i="1"/>
  <c r="T363" i="1"/>
  <c r="AG54" i="2"/>
  <c r="D96" i="1"/>
  <c r="P492" i="1"/>
  <c r="R151" i="1"/>
  <c r="I404" i="1"/>
  <c r="AA364" i="1"/>
  <c r="L520" i="1"/>
  <c r="D90" i="2"/>
  <c r="L518" i="1"/>
  <c r="AA174" i="1"/>
  <c r="P90" i="1"/>
  <c r="Z396" i="1"/>
  <c r="P322" i="1"/>
  <c r="J78" i="2"/>
  <c r="AJ50" i="2"/>
  <c r="I454" i="1"/>
  <c r="AE22" i="2"/>
  <c r="AA129" i="1"/>
  <c r="M48" i="2"/>
  <c r="D40" i="2"/>
  <c r="A78" i="2"/>
  <c r="AB194" i="1"/>
  <c r="T413" i="1"/>
  <c r="G427" i="1"/>
  <c r="D475" i="1"/>
  <c r="AB360" i="1"/>
  <c r="N412" i="1"/>
  <c r="E330" i="1"/>
  <c r="AA322" i="1"/>
  <c r="AA96" i="1"/>
  <c r="S64" i="1"/>
  <c r="F492" i="1"/>
  <c r="Q102" i="2"/>
  <c r="D169" i="1"/>
  <c r="G249" i="1"/>
  <c r="S77" i="2"/>
  <c r="G413" i="1"/>
  <c r="D84" i="2"/>
  <c r="M83" i="2"/>
  <c r="U107" i="2"/>
  <c r="S466" i="1"/>
  <c r="P88" i="2"/>
  <c r="R95" i="1"/>
  <c r="E16" i="2"/>
  <c r="N196" i="1"/>
  <c r="I129" i="1"/>
  <c r="O414" i="1"/>
  <c r="AG31" i="2"/>
  <c r="S243" i="1"/>
  <c r="A105" i="2"/>
  <c r="S381" i="1"/>
  <c r="I525" i="1"/>
  <c r="D263" i="1"/>
  <c r="D38" i="1"/>
  <c r="R489" i="1"/>
  <c r="F343" i="1"/>
  <c r="L460" i="1"/>
  <c r="R82" i="1"/>
  <c r="O448" i="1"/>
  <c r="D48" i="2"/>
  <c r="R464" i="1"/>
  <c r="AA400" i="1"/>
  <c r="I300" i="1"/>
  <c r="G496" i="1"/>
  <c r="Q318" i="1"/>
  <c r="M382" i="1"/>
  <c r="Z164" i="1"/>
  <c r="T390" i="1"/>
  <c r="T64" i="2"/>
  <c r="L201" i="1"/>
  <c r="Q519" i="1"/>
  <c r="V92" i="2"/>
  <c r="R66" i="1"/>
  <c r="AA300" i="1"/>
  <c r="N173" i="1"/>
  <c r="G18" i="2"/>
  <c r="R433" i="1"/>
  <c r="F348" i="1"/>
  <c r="I91" i="1"/>
  <c r="S430" i="1"/>
  <c r="F48" i="1"/>
  <c r="S44" i="2"/>
  <c r="F18" i="1"/>
  <c r="A106" i="2"/>
  <c r="G29" i="1"/>
  <c r="P505" i="1"/>
  <c r="N311" i="1"/>
  <c r="P296" i="1"/>
  <c r="W33" i="2"/>
  <c r="G239" i="1"/>
  <c r="N12" i="1"/>
  <c r="Q439" i="1"/>
  <c r="D154" i="1"/>
  <c r="L131" i="1"/>
  <c r="R200" i="1"/>
  <c r="L269" i="1"/>
  <c r="D114" i="1"/>
  <c r="G138" i="1"/>
  <c r="M90" i="2"/>
  <c r="S143" i="1"/>
  <c r="T225" i="1"/>
  <c r="F112" i="1"/>
  <c r="R387" i="1"/>
  <c r="T48" i="2"/>
  <c r="Z247" i="1"/>
  <c r="S66" i="2"/>
  <c r="P226" i="1"/>
  <c r="T388" i="1"/>
  <c r="W428" i="1"/>
  <c r="Q342" i="1"/>
  <c r="I107" i="1"/>
  <c r="G37" i="1"/>
  <c r="Z478" i="1"/>
  <c r="D75" i="2"/>
  <c r="G252" i="1"/>
  <c r="P222" i="1"/>
  <c r="D53" i="2"/>
  <c r="U40" i="1"/>
  <c r="E159" i="1"/>
  <c r="M37" i="2"/>
  <c r="D240" i="1"/>
  <c r="P3" i="1"/>
  <c r="E482" i="1"/>
  <c r="AF42" i="2"/>
  <c r="AA210" i="1"/>
  <c r="F231" i="1"/>
  <c r="T322" i="1"/>
  <c r="T177" i="1"/>
  <c r="N496" i="1"/>
  <c r="AA185" i="1"/>
  <c r="E31" i="1"/>
  <c r="W416" i="1"/>
  <c r="N50" i="1"/>
  <c r="F156" i="1"/>
  <c r="F53" i="2"/>
  <c r="Q186" i="1"/>
  <c r="L344" i="1"/>
  <c r="T534" i="1"/>
  <c r="D148" i="1"/>
  <c r="AB463" i="1"/>
  <c r="I433" i="1"/>
  <c r="O19" i="2"/>
  <c r="W425" i="1"/>
  <c r="L355" i="1"/>
  <c r="M300" i="1"/>
  <c r="P196" i="1"/>
  <c r="R320" i="1"/>
  <c r="G455" i="1"/>
  <c r="T310" i="1"/>
  <c r="AB13" i="1"/>
  <c r="AG78" i="2"/>
  <c r="F129" i="1"/>
  <c r="N487" i="1"/>
  <c r="J6" i="2"/>
  <c r="G119" i="1"/>
  <c r="Z30" i="1"/>
  <c r="G132" i="1"/>
  <c r="D406" i="1"/>
  <c r="AA532" i="1"/>
  <c r="Z237" i="1"/>
  <c r="F47" i="1"/>
  <c r="T264" i="1"/>
  <c r="AA317" i="1"/>
  <c r="T46" i="1"/>
  <c r="S275" i="1"/>
  <c r="E491" i="1"/>
  <c r="G408" i="1"/>
  <c r="AA367" i="1"/>
  <c r="R519" i="1"/>
  <c r="G478" i="1"/>
  <c r="M456" i="1"/>
  <c r="L187" i="1"/>
  <c r="AA463" i="1"/>
  <c r="I114" i="1"/>
  <c r="M533" i="1"/>
  <c r="AG6" i="2"/>
  <c r="M77" i="1"/>
  <c r="T6" i="1"/>
  <c r="R57" i="1"/>
  <c r="E116" i="1"/>
  <c r="S141" i="1"/>
  <c r="I22" i="1"/>
  <c r="R323" i="1"/>
  <c r="G394" i="1"/>
  <c r="G78" i="2"/>
  <c r="M390" i="1"/>
  <c r="E155" i="1"/>
  <c r="E115" i="1"/>
  <c r="N358" i="1"/>
  <c r="R71" i="1"/>
  <c r="F300" i="1"/>
  <c r="H27" i="2"/>
  <c r="AA330" i="1"/>
  <c r="AH53" i="2"/>
  <c r="S138" i="1"/>
  <c r="X48" i="2"/>
  <c r="G59" i="2"/>
  <c r="F7" i="2"/>
  <c r="P454" i="1"/>
  <c r="F226" i="1"/>
  <c r="U75" i="2"/>
  <c r="V79" i="2"/>
  <c r="Q56" i="2"/>
  <c r="AB333" i="1"/>
  <c r="AE39" i="2"/>
  <c r="AG32" i="2"/>
  <c r="E109" i="2"/>
  <c r="P231" i="1"/>
  <c r="AA239" i="1"/>
  <c r="L22" i="1"/>
  <c r="Q203" i="1"/>
  <c r="I264" i="1"/>
  <c r="V1" i="2"/>
  <c r="E17" i="2"/>
  <c r="S16" i="2"/>
  <c r="E101" i="2"/>
  <c r="D188" i="1"/>
  <c r="T320" i="1"/>
  <c r="P243" i="1"/>
  <c r="H2" i="2"/>
  <c r="A76" i="2"/>
  <c r="U53" i="2"/>
  <c r="M91" i="2"/>
  <c r="P464" i="1"/>
  <c r="R40" i="2"/>
  <c r="N151" i="1"/>
  <c r="V60" i="2"/>
  <c r="AB37" i="1"/>
  <c r="E20" i="1"/>
  <c r="Z402" i="1"/>
  <c r="AA270" i="1"/>
  <c r="G237" i="1"/>
  <c r="M50" i="2"/>
  <c r="I95" i="1"/>
  <c r="M133" i="1"/>
  <c r="AA510" i="1"/>
  <c r="I205" i="1"/>
  <c r="E42" i="2"/>
  <c r="O11" i="2"/>
  <c r="P371" i="1"/>
  <c r="Z222" i="1"/>
  <c r="D24" i="1"/>
  <c r="S268" i="1"/>
  <c r="E290" i="1"/>
  <c r="D301" i="1"/>
  <c r="A25" i="2"/>
  <c r="J101" i="2"/>
  <c r="E100" i="1"/>
  <c r="AG33" i="2"/>
  <c r="AA487" i="1"/>
  <c r="AB193" i="1"/>
  <c r="Q117" i="1"/>
  <c r="I20" i="1"/>
  <c r="D109" i="2"/>
  <c r="L137" i="1"/>
  <c r="I59" i="1"/>
  <c r="F24" i="1"/>
  <c r="Q158" i="1"/>
  <c r="E422" i="1"/>
  <c r="AJ1" i="2"/>
  <c r="R520" i="1"/>
  <c r="AA349" i="1"/>
  <c r="R182" i="1"/>
  <c r="T163" i="1"/>
  <c r="T14" i="2"/>
  <c r="F462" i="1"/>
  <c r="I151" i="1"/>
  <c r="S469" i="1"/>
  <c r="R526" i="1"/>
  <c r="F284" i="1"/>
  <c r="N247" i="1"/>
  <c r="S101" i="1"/>
  <c r="D25" i="1"/>
  <c r="N159" i="1"/>
  <c r="P350" i="1"/>
  <c r="AA333" i="1"/>
  <c r="X25" i="2"/>
  <c r="C73" i="1"/>
  <c r="V84" i="2"/>
  <c r="T185" i="1"/>
  <c r="G393" i="1"/>
  <c r="Q505" i="1"/>
  <c r="V48" i="2"/>
  <c r="G354" i="1"/>
  <c r="M147" i="1"/>
  <c r="E489" i="1"/>
  <c r="S91" i="2"/>
  <c r="AF34" i="2"/>
  <c r="F281" i="1"/>
  <c r="Q507" i="1"/>
  <c r="T57" i="1"/>
  <c r="Q38" i="1"/>
  <c r="F60" i="1"/>
  <c r="N12" i="2"/>
  <c r="AB347" i="1"/>
  <c r="U91" i="2"/>
  <c r="N254" i="1"/>
  <c r="V103" i="2"/>
  <c r="D29" i="2"/>
  <c r="N468" i="1"/>
  <c r="Z338" i="1"/>
  <c r="V4" i="2"/>
  <c r="G479" i="1"/>
  <c r="F35" i="2"/>
  <c r="S342" i="1"/>
  <c r="N49" i="2"/>
  <c r="N95" i="2"/>
  <c r="T234" i="1"/>
  <c r="W68" i="2"/>
  <c r="AG12" i="2"/>
  <c r="L261" i="1"/>
  <c r="AA323" i="1"/>
  <c r="X92" i="2"/>
  <c r="V96" i="2"/>
  <c r="AG41" i="2"/>
  <c r="J18" i="2"/>
  <c r="U93" i="2"/>
  <c r="G76" i="2"/>
  <c r="X11" i="2"/>
  <c r="AF84" i="2"/>
  <c r="P194" i="1"/>
  <c r="V51" i="2"/>
  <c r="I44" i="1"/>
  <c r="P188" i="1"/>
  <c r="Q523" i="1"/>
  <c r="X70" i="2"/>
  <c r="R389" i="1"/>
  <c r="G81" i="2"/>
  <c r="T93" i="1"/>
  <c r="M345" i="1"/>
  <c r="L194" i="1"/>
  <c r="V70" i="2"/>
  <c r="M394" i="1"/>
  <c r="T68" i="1"/>
  <c r="J1" i="1"/>
  <c r="Q514" i="1"/>
  <c r="Q339" i="1"/>
  <c r="AE97" i="2"/>
  <c r="X97" i="2"/>
  <c r="T79" i="1"/>
  <c r="E238" i="1"/>
  <c r="F66" i="2"/>
  <c r="E36" i="1"/>
  <c r="Q226" i="1"/>
  <c r="F337" i="1"/>
  <c r="H37" i="2"/>
  <c r="R18" i="2"/>
  <c r="P119" i="1"/>
  <c r="M317" i="1"/>
  <c r="Q421" i="1"/>
  <c r="F268" i="1"/>
  <c r="E51" i="2"/>
  <c r="D107" i="2"/>
  <c r="W58" i="2"/>
  <c r="M319" i="1"/>
  <c r="L336" i="1"/>
  <c r="O235" i="1"/>
  <c r="T240" i="1"/>
  <c r="Z160" i="1"/>
  <c r="AB320" i="1"/>
  <c r="X17" i="2"/>
  <c r="X34" i="2"/>
  <c r="E92" i="1"/>
  <c r="L68" i="1"/>
  <c r="F27" i="2"/>
  <c r="M375" i="1"/>
  <c r="S48" i="1"/>
  <c r="D14" i="2"/>
  <c r="J39" i="2"/>
  <c r="I361" i="1"/>
  <c r="Z249" i="1"/>
  <c r="S37" i="1"/>
  <c r="X96" i="2"/>
  <c r="M420" i="1"/>
  <c r="T257" i="1"/>
  <c r="M47" i="2"/>
  <c r="F100" i="1"/>
  <c r="H15" i="2"/>
  <c r="Z72" i="1"/>
  <c r="AA147" i="1"/>
  <c r="I10" i="1"/>
  <c r="S350" i="1"/>
  <c r="W74" i="2"/>
  <c r="F255" i="1"/>
  <c r="D418" i="1"/>
  <c r="O73" i="2"/>
  <c r="W69" i="2"/>
  <c r="I493" i="1"/>
  <c r="J11" i="2"/>
  <c r="E50" i="1"/>
  <c r="M28" i="1"/>
  <c r="T249" i="1"/>
  <c r="U30" i="2"/>
  <c r="AA495" i="1"/>
  <c r="T30" i="1"/>
  <c r="U83" i="2"/>
  <c r="L30" i="1"/>
  <c r="M361" i="1"/>
  <c r="U78" i="2"/>
  <c r="X23" i="2"/>
  <c r="E94" i="2"/>
  <c r="J106" i="2"/>
  <c r="L317" i="1"/>
  <c r="P364" i="1"/>
  <c r="M212" i="1"/>
  <c r="R460" i="1"/>
  <c r="Z83" i="1"/>
  <c r="AB162" i="1"/>
  <c r="W10" i="2"/>
  <c r="P397" i="1"/>
  <c r="L427" i="1"/>
  <c r="Q467" i="1"/>
  <c r="R456" i="1"/>
  <c r="M156" i="1"/>
  <c r="N347" i="1"/>
  <c r="F374" i="1"/>
  <c r="AB269" i="1"/>
  <c r="L346" i="1"/>
  <c r="L502" i="1"/>
  <c r="V18" i="2"/>
  <c r="F49" i="1"/>
  <c r="R93" i="2"/>
  <c r="T156" i="1"/>
  <c r="L369" i="1"/>
  <c r="L50" i="1"/>
  <c r="O232" i="1"/>
  <c r="E395" i="1"/>
  <c r="P300" i="1"/>
  <c r="AB139" i="1"/>
  <c r="AA327" i="1"/>
  <c r="Z90" i="1"/>
  <c r="N298" i="1"/>
  <c r="G398" i="1"/>
  <c r="P63" i="1"/>
  <c r="T138" i="1"/>
  <c r="N19" i="1"/>
  <c r="AB36" i="1"/>
  <c r="X63" i="2"/>
  <c r="E171" i="1"/>
  <c r="AD3" i="2"/>
  <c r="I195" i="1"/>
  <c r="E348" i="1"/>
  <c r="M98" i="2"/>
  <c r="AA91" i="1"/>
  <c r="S460" i="1"/>
  <c r="S432" i="1"/>
  <c r="Q213" i="1"/>
  <c r="O162" i="1"/>
  <c r="O92" i="1"/>
  <c r="AJ102" i="2"/>
  <c r="N494" i="1"/>
  <c r="AA297" i="1"/>
  <c r="AD54" i="2"/>
  <c r="I372" i="1"/>
  <c r="L437" i="1"/>
  <c r="L486" i="1"/>
  <c r="S159" i="1"/>
  <c r="AD80" i="2"/>
  <c r="E65" i="2"/>
  <c r="L111" i="1"/>
  <c r="P74" i="2"/>
  <c r="G257" i="1"/>
  <c r="D34" i="2"/>
  <c r="G45" i="1"/>
  <c r="AA175" i="1"/>
  <c r="Q459" i="1"/>
  <c r="F483" i="1"/>
  <c r="I295" i="1"/>
  <c r="T449" i="1"/>
  <c r="O41" i="2"/>
  <c r="AA383" i="1"/>
  <c r="T336" i="1"/>
  <c r="Q254" i="1"/>
  <c r="N365" i="1"/>
  <c r="E133" i="1"/>
  <c r="R49" i="1"/>
  <c r="F263" i="1"/>
  <c r="M400" i="1"/>
  <c r="R9" i="2"/>
  <c r="I378" i="1"/>
  <c r="P455" i="1"/>
  <c r="V42" i="2"/>
  <c r="D504" i="1"/>
  <c r="D95" i="2"/>
  <c r="M395" i="1"/>
  <c r="AD38" i="2"/>
  <c r="G3" i="1"/>
  <c r="I243" i="1"/>
  <c r="D159" i="1"/>
  <c r="W75" i="1"/>
  <c r="P531" i="1"/>
  <c r="D523" i="1"/>
  <c r="AA491" i="1"/>
  <c r="Z264" i="1"/>
  <c r="Q71" i="1"/>
  <c r="D131" i="1"/>
  <c r="Q369" i="1"/>
  <c r="E187" i="1"/>
  <c r="Z360" i="1"/>
  <c r="Q115" i="1"/>
  <c r="G525" i="1"/>
  <c r="AB214" i="1"/>
  <c r="P228" i="1"/>
  <c r="L258" i="1"/>
  <c r="I189" i="1"/>
  <c r="P223" i="1"/>
  <c r="Q43" i="1"/>
  <c r="E19" i="1"/>
  <c r="O228" i="1"/>
  <c r="T274" i="1"/>
  <c r="O34" i="2"/>
  <c r="P221" i="1"/>
  <c r="F66" i="1"/>
  <c r="S493" i="1"/>
  <c r="P60" i="2"/>
  <c r="E493" i="1"/>
  <c r="AA4" i="1"/>
  <c r="I507" i="1"/>
  <c r="AB188" i="1"/>
  <c r="Z113" i="1"/>
  <c r="T347" i="1"/>
  <c r="D313" i="1"/>
  <c r="W457" i="1"/>
  <c r="S398" i="1"/>
  <c r="AB180" i="1"/>
  <c r="N153" i="1"/>
  <c r="Q200" i="1"/>
  <c r="Z24" i="1"/>
  <c r="AB329" i="1"/>
  <c r="I45" i="1"/>
  <c r="I297" i="1"/>
  <c r="E465" i="1"/>
  <c r="P79" i="2"/>
  <c r="O21" i="2"/>
  <c r="Q255" i="1"/>
  <c r="M331" i="1"/>
  <c r="X106" i="2"/>
  <c r="R35" i="1"/>
  <c r="T190" i="1"/>
  <c r="T96" i="2"/>
  <c r="D145" i="1"/>
  <c r="D362" i="1"/>
  <c r="W6" i="2"/>
  <c r="E494" i="1"/>
  <c r="N498" i="1"/>
  <c r="F32" i="2"/>
  <c r="N249" i="1"/>
  <c r="G25" i="1"/>
  <c r="G314" i="1"/>
  <c r="Q365" i="1"/>
  <c r="S369" i="1"/>
  <c r="T215" i="1"/>
  <c r="E504" i="1"/>
  <c r="F67" i="2"/>
  <c r="AH32" i="2"/>
  <c r="M274" i="1"/>
  <c r="G24" i="2"/>
  <c r="T63" i="2"/>
  <c r="E76" i="1"/>
  <c r="I518" i="1"/>
  <c r="Q87" i="2"/>
  <c r="R180" i="1"/>
  <c r="AB10" i="1"/>
  <c r="M320" i="1"/>
  <c r="T226" i="1"/>
  <c r="N324" i="1"/>
  <c r="S212" i="1"/>
  <c r="G148" i="1"/>
  <c r="N350" i="1"/>
  <c r="S14" i="2"/>
  <c r="F336" i="1"/>
  <c r="N110" i="2"/>
  <c r="T173" i="1"/>
  <c r="T299" i="1"/>
  <c r="AB229" i="1"/>
  <c r="U100" i="2"/>
  <c r="R366" i="1"/>
  <c r="AJ51" i="2"/>
  <c r="M27" i="2"/>
  <c r="T478" i="1"/>
  <c r="G78" i="1"/>
  <c r="F269" i="1"/>
  <c r="F423" i="1"/>
  <c r="T469" i="1"/>
  <c r="N172" i="1"/>
  <c r="Z156" i="1"/>
  <c r="Z460" i="1"/>
  <c r="L357" i="1"/>
  <c r="E321" i="1"/>
  <c r="I241" i="1"/>
  <c r="R201" i="1"/>
  <c r="AB79" i="1"/>
  <c r="O428" i="1"/>
  <c r="AB46" i="1"/>
  <c r="F342" i="1"/>
  <c r="X488" i="1"/>
  <c r="D356" i="1"/>
  <c r="S164" i="1"/>
  <c r="N361" i="1"/>
  <c r="AJ76" i="2"/>
  <c r="T164" i="1"/>
  <c r="AA17" i="1"/>
  <c r="M470" i="1"/>
  <c r="T343" i="1"/>
  <c r="Q319" i="1"/>
  <c r="Q29" i="1"/>
  <c r="AB386" i="1"/>
  <c r="Q423" i="1"/>
  <c r="S412" i="1"/>
  <c r="D328" i="1"/>
  <c r="G142" i="1"/>
  <c r="N453" i="1"/>
  <c r="G7" i="1"/>
  <c r="F274" i="1"/>
  <c r="L199" i="1"/>
  <c r="T365" i="1"/>
  <c r="N63" i="1"/>
  <c r="L17" i="1"/>
  <c r="G22" i="2"/>
  <c r="P42" i="2"/>
  <c r="L24" i="1"/>
  <c r="R30" i="2"/>
  <c r="L304" i="1"/>
  <c r="P533" i="1"/>
  <c r="P75" i="2"/>
  <c r="S172" i="1"/>
  <c r="AB74" i="1"/>
  <c r="I279" i="1"/>
  <c r="A83" i="2"/>
  <c r="P372" i="1"/>
  <c r="N316" i="1"/>
  <c r="D94" i="2"/>
  <c r="P468" i="1"/>
  <c r="S19" i="2"/>
  <c r="U22" i="2"/>
  <c r="J94" i="2"/>
  <c r="T110" i="2"/>
  <c r="AB206" i="1"/>
  <c r="D124" i="1"/>
  <c r="Z293" i="1"/>
  <c r="V106" i="2"/>
  <c r="T87" i="2"/>
  <c r="I468" i="1"/>
  <c r="T27" i="2"/>
  <c r="D531" i="1"/>
  <c r="AA148" i="1"/>
  <c r="L337" i="1"/>
  <c r="S477" i="1"/>
  <c r="P59" i="2"/>
  <c r="T136" i="1"/>
  <c r="AB344" i="1"/>
  <c r="AA35" i="1"/>
  <c r="Q106" i="2"/>
  <c r="J81" i="2"/>
  <c r="V57" i="2"/>
  <c r="D99" i="1"/>
  <c r="AB208" i="1"/>
  <c r="Q19" i="1"/>
  <c r="E441" i="1"/>
  <c r="E377" i="1"/>
  <c r="S57" i="1"/>
  <c r="S22" i="1"/>
  <c r="E449" i="1"/>
  <c r="D49" i="2"/>
  <c r="Q436" i="1"/>
  <c r="F21" i="2"/>
  <c r="N343" i="1"/>
  <c r="X71" i="2"/>
  <c r="O84" i="2"/>
  <c r="S437" i="1"/>
  <c r="AH52" i="2"/>
  <c r="F440" i="1"/>
  <c r="W96" i="2"/>
  <c r="W51" i="2"/>
  <c r="C52" i="2"/>
  <c r="H24" i="2"/>
  <c r="N26" i="2"/>
  <c r="R504" i="1"/>
  <c r="Q231" i="1"/>
  <c r="S62" i="1"/>
  <c r="AB215" i="1"/>
  <c r="Q89" i="2"/>
  <c r="I522" i="1"/>
  <c r="U13" i="2"/>
  <c r="Y1" i="2"/>
  <c r="D405" i="1"/>
  <c r="AA331" i="1"/>
  <c r="P493" i="1"/>
  <c r="Q497" i="1"/>
  <c r="O74" i="2"/>
  <c r="F521" i="1"/>
  <c r="S514" i="1"/>
  <c r="H60" i="2"/>
  <c r="Z349" i="1"/>
  <c r="Q28" i="2"/>
  <c r="N404" i="1"/>
  <c r="G260" i="1"/>
  <c r="P348" i="1"/>
  <c r="G344" i="1"/>
  <c r="O320" i="1"/>
  <c r="T25" i="1"/>
  <c r="Q484" i="1"/>
  <c r="AB315" i="1"/>
  <c r="N469" i="1"/>
  <c r="G190" i="1"/>
  <c r="Q198" i="1"/>
  <c r="G448" i="1"/>
  <c r="R399" i="1"/>
  <c r="I74" i="1"/>
  <c r="T194" i="1"/>
  <c r="W34" i="2"/>
  <c r="O188" i="1"/>
  <c r="D168" i="1"/>
  <c r="H95" i="2"/>
  <c r="T82" i="2"/>
  <c r="AJ95" i="2"/>
  <c r="F50" i="2"/>
  <c r="AA2" i="2"/>
  <c r="E64" i="2"/>
  <c r="AG28" i="2"/>
  <c r="AF21" i="2"/>
  <c r="V86" i="2"/>
  <c r="E310" i="1"/>
  <c r="N344" i="1"/>
  <c r="M338" i="1"/>
  <c r="J59" i="2"/>
  <c r="T327" i="1"/>
  <c r="N35" i="2"/>
  <c r="AB92" i="1"/>
  <c r="M524" i="1"/>
  <c r="Q410" i="1"/>
  <c r="Q173" i="1"/>
  <c r="N147" i="1"/>
  <c r="I270" i="1"/>
  <c r="R256" i="1"/>
  <c r="P198" i="1"/>
  <c r="Z363" i="1"/>
  <c r="W40" i="2"/>
  <c r="V105" i="2"/>
  <c r="M454" i="1"/>
  <c r="E8" i="1"/>
  <c r="F424" i="1"/>
  <c r="W417" i="1"/>
  <c r="L475" i="1"/>
  <c r="AB398" i="1"/>
  <c r="D508" i="1"/>
  <c r="M248" i="1"/>
  <c r="F340" i="1"/>
  <c r="M507" i="1"/>
  <c r="I367" i="1"/>
  <c r="W111" i="2"/>
  <c r="P440" i="1"/>
  <c r="L458" i="1"/>
  <c r="R76" i="2"/>
  <c r="T139" i="1"/>
  <c r="AA14" i="1"/>
  <c r="I139" i="1"/>
  <c r="D196" i="1"/>
  <c r="M494" i="1"/>
  <c r="D368" i="1"/>
  <c r="M370" i="1"/>
  <c r="Q344" i="1"/>
  <c r="T337" i="1"/>
  <c r="U34" i="2"/>
  <c r="Q6" i="1"/>
  <c r="AB142" i="1"/>
  <c r="P107" i="1"/>
  <c r="Z50" i="1"/>
  <c r="AJ84" i="2"/>
  <c r="A108" i="2"/>
  <c r="J30" i="2"/>
  <c r="N162" i="1"/>
  <c r="D58" i="1"/>
  <c r="I57" i="1"/>
  <c r="F309" i="1"/>
  <c r="Z269" i="1"/>
  <c r="E1" i="2"/>
  <c r="AH78" i="2"/>
  <c r="G9" i="1"/>
  <c r="N141" i="1"/>
  <c r="M152" i="1"/>
  <c r="T467" i="1"/>
  <c r="G414" i="1"/>
  <c r="S497" i="1"/>
  <c r="AB195" i="1"/>
  <c r="T5" i="1"/>
  <c r="AA453" i="1"/>
  <c r="AA352" i="1"/>
  <c r="R302" i="1"/>
  <c r="AA145" i="1"/>
  <c r="D485" i="1"/>
  <c r="E11" i="2"/>
  <c r="L48" i="1"/>
  <c r="P267" i="1"/>
  <c r="F78" i="2"/>
  <c r="D524" i="1"/>
  <c r="W107" i="2"/>
  <c r="L25" i="1"/>
  <c r="G352" i="1"/>
  <c r="N366" i="1"/>
  <c r="E72" i="1"/>
  <c r="AD23" i="2"/>
  <c r="D138" i="1"/>
  <c r="O27" i="1"/>
  <c r="L232" i="1"/>
  <c r="P24" i="1"/>
  <c r="I37" i="1"/>
  <c r="L406" i="1"/>
  <c r="F264" i="1"/>
  <c r="F83" i="1"/>
  <c r="I118" i="1"/>
  <c r="I185" i="1"/>
  <c r="J36" i="2"/>
  <c r="I301" i="1"/>
  <c r="D413" i="1"/>
  <c r="Z58" i="1"/>
  <c r="R20" i="1"/>
  <c r="U95" i="2"/>
  <c r="Z508" i="1"/>
  <c r="D382" i="1"/>
  <c r="N272" i="1"/>
  <c r="L300" i="1"/>
  <c r="AB151" i="1"/>
  <c r="AA37" i="1"/>
  <c r="P272" i="1"/>
  <c r="I497" i="1"/>
  <c r="N69" i="2"/>
  <c r="S2" i="2"/>
  <c r="R196" i="1"/>
  <c r="T28" i="2"/>
  <c r="AA28" i="1"/>
  <c r="F31" i="2"/>
  <c r="U55" i="2"/>
  <c r="AA118" i="1"/>
  <c r="Z390" i="1"/>
  <c r="N422" i="1"/>
  <c r="G198" i="1"/>
  <c r="S28" i="2"/>
  <c r="M437" i="1"/>
  <c r="Z43" i="1"/>
  <c r="E230" i="1"/>
  <c r="T76" i="2"/>
  <c r="L392" i="1"/>
  <c r="E136" i="1"/>
  <c r="T99" i="1"/>
  <c r="AH28" i="2"/>
  <c r="I27" i="1"/>
  <c r="AB77" i="2"/>
  <c r="D250" i="1"/>
  <c r="M372" i="1"/>
  <c r="F396" i="1"/>
  <c r="I23" i="1"/>
  <c r="S214" i="1"/>
  <c r="Q250" i="1"/>
  <c r="A21" i="2"/>
  <c r="Q315" i="1"/>
  <c r="Z495" i="1"/>
  <c r="I352" i="1"/>
  <c r="N407" i="1"/>
  <c r="S222" i="1"/>
  <c r="S4" i="2"/>
  <c r="D242" i="1"/>
  <c r="P324" i="1"/>
  <c r="N209" i="1"/>
  <c r="T321" i="1"/>
  <c r="R368" i="1"/>
  <c r="AB230" i="1"/>
  <c r="AA325" i="1"/>
  <c r="E260" i="1"/>
  <c r="M5" i="1"/>
  <c r="P45" i="1"/>
  <c r="T69" i="2"/>
  <c r="AG37" i="2"/>
  <c r="R31" i="2"/>
  <c r="Q163" i="1"/>
  <c r="D61" i="2"/>
  <c r="Z37" i="1"/>
  <c r="S478" i="1"/>
  <c r="V89" i="2"/>
  <c r="E79" i="1"/>
  <c r="Z215" i="1"/>
  <c r="P106" i="2"/>
  <c r="M58" i="1"/>
  <c r="T148" i="1"/>
  <c r="AE43" i="2"/>
  <c r="M37" i="1"/>
  <c r="R7" i="1"/>
  <c r="AB22" i="1"/>
  <c r="M423" i="1"/>
  <c r="R162" i="1"/>
  <c r="D303" i="1"/>
  <c r="O420" i="1"/>
  <c r="Z350" i="1"/>
  <c r="AA320" i="1"/>
  <c r="Q354" i="1"/>
  <c r="AA34" i="1"/>
  <c r="V95" i="2"/>
  <c r="R227" i="1"/>
  <c r="P10" i="2"/>
  <c r="I310" i="1"/>
  <c r="M366" i="1"/>
  <c r="Z300" i="1"/>
  <c r="T259" i="1"/>
  <c r="H106" i="2"/>
  <c r="R233" i="1"/>
  <c r="AA138" i="1"/>
  <c r="L487" i="1"/>
  <c r="E59" i="1"/>
  <c r="G35" i="2"/>
  <c r="E39" i="2"/>
  <c r="G74" i="1"/>
  <c r="AA3" i="2"/>
  <c r="M379" i="1"/>
  <c r="Z61" i="1"/>
  <c r="G31" i="2"/>
  <c r="G381" i="1"/>
  <c r="U60" i="2"/>
  <c r="AD55" i="2"/>
  <c r="O75" i="2"/>
  <c r="E322" i="1"/>
  <c r="M26" i="1"/>
  <c r="F354" i="1"/>
  <c r="AG84" i="2"/>
  <c r="L524" i="1"/>
  <c r="AE19" i="2"/>
  <c r="AB226" i="1"/>
  <c r="Q45" i="1"/>
  <c r="M94" i="2"/>
  <c r="U64" i="2"/>
  <c r="E307" i="1"/>
  <c r="L438" i="1"/>
  <c r="A74" i="2"/>
  <c r="I410" i="1"/>
  <c r="M386" i="1"/>
  <c r="H76" i="2"/>
  <c r="S92" i="1"/>
  <c r="F319" i="1"/>
  <c r="AB31" i="1"/>
  <c r="X155" i="1"/>
  <c r="G75" i="1"/>
  <c r="L190" i="1"/>
  <c r="L28" i="1"/>
  <c r="T199" i="1"/>
  <c r="AD42" i="2"/>
  <c r="X111" i="2"/>
  <c r="R455" i="1"/>
  <c r="Z110" i="1"/>
  <c r="N216" i="1"/>
  <c r="Q492" i="1"/>
  <c r="N37" i="1"/>
  <c r="T233" i="1"/>
  <c r="G373" i="1"/>
  <c r="I1" i="1"/>
  <c r="R296" i="1"/>
  <c r="L57" i="1"/>
  <c r="N369" i="1"/>
  <c r="N420" i="1"/>
  <c r="P32" i="1"/>
  <c r="AF32" i="2"/>
  <c r="M138" i="1"/>
  <c r="AG75" i="2"/>
  <c r="F200" i="1"/>
  <c r="I120" i="1"/>
  <c r="O108" i="1"/>
  <c r="P68" i="1"/>
  <c r="G76" i="1"/>
  <c r="P76" i="2"/>
  <c r="P99" i="2"/>
  <c r="AE38" i="2"/>
  <c r="N39" i="1"/>
  <c r="Z117" i="1"/>
  <c r="AE53" i="2"/>
  <c r="E85" i="2"/>
  <c r="H90" i="2"/>
  <c r="M141" i="1"/>
  <c r="P95" i="2"/>
  <c r="N22" i="2"/>
  <c r="A52" i="2"/>
  <c r="O83" i="2"/>
  <c r="M383" i="1"/>
  <c r="Z358" i="1"/>
  <c r="N238" i="1"/>
  <c r="H77" i="2"/>
  <c r="P44" i="2"/>
  <c r="U25" i="2"/>
  <c r="V109" i="2"/>
  <c r="M176" i="1"/>
  <c r="P315" i="1"/>
  <c r="D452" i="1"/>
  <c r="D67" i="2"/>
  <c r="G486" i="1"/>
  <c r="R22" i="2"/>
  <c r="U36" i="2"/>
  <c r="H41" i="2"/>
  <c r="Q404" i="1"/>
  <c r="U84" i="2"/>
  <c r="R337" i="1"/>
  <c r="R490" i="1"/>
  <c r="I505" i="1"/>
  <c r="M24" i="2"/>
  <c r="P3" i="2"/>
  <c r="O317" i="1"/>
  <c r="Q129" i="1"/>
  <c r="G242" i="1"/>
  <c r="V28" i="2"/>
  <c r="AA362" i="1"/>
  <c r="I456" i="1"/>
  <c r="AH84" i="2"/>
  <c r="E467" i="1"/>
  <c r="N251" i="1"/>
  <c r="L511" i="1"/>
  <c r="A42" i="2"/>
  <c r="N14" i="2"/>
  <c r="M229" i="1"/>
  <c r="F177" i="1"/>
  <c r="O20" i="2"/>
  <c r="F327" i="1"/>
  <c r="E512" i="1"/>
  <c r="A16" i="2"/>
  <c r="G98" i="2"/>
  <c r="Q402" i="1"/>
  <c r="T31" i="1"/>
  <c r="D71" i="1"/>
  <c r="F85" i="2"/>
  <c r="D181" i="1"/>
  <c r="M96" i="1"/>
  <c r="D509" i="1"/>
  <c r="S76" i="1"/>
  <c r="E87" i="2"/>
  <c r="AB494" i="1"/>
  <c r="Q51" i="2"/>
  <c r="E101" i="1"/>
  <c r="AA490" i="1"/>
  <c r="P146" i="1"/>
  <c r="T278" i="1"/>
  <c r="M387" i="1"/>
  <c r="Z169" i="1"/>
  <c r="D262" i="1"/>
  <c r="T214" i="1"/>
  <c r="G403" i="1"/>
  <c r="M188" i="1"/>
  <c r="L528" i="1"/>
  <c r="G505" i="1"/>
  <c r="S11" i="2"/>
  <c r="N331" i="1"/>
  <c r="D365" i="1"/>
  <c r="S405" i="1"/>
  <c r="W22" i="2"/>
  <c r="AD77" i="2"/>
  <c r="G27" i="1"/>
  <c r="E77" i="2"/>
  <c r="U67" i="2"/>
  <c r="T9" i="1"/>
  <c r="E59" i="2"/>
  <c r="Q85" i="1"/>
  <c r="R7" i="2"/>
  <c r="G259" i="1"/>
  <c r="N406" i="1"/>
  <c r="G63" i="2"/>
  <c r="AB154" i="1"/>
  <c r="Q264" i="1"/>
  <c r="T426" i="1"/>
  <c r="S68" i="1"/>
  <c r="E200" i="1"/>
  <c r="M10" i="1"/>
  <c r="G154" i="1"/>
  <c r="P21" i="2"/>
  <c r="L108" i="1"/>
  <c r="F280" i="1"/>
  <c r="AB339" i="1"/>
  <c r="S31" i="1"/>
  <c r="M206" i="1"/>
  <c r="Q258" i="1"/>
  <c r="T518" i="1"/>
  <c r="F171" i="1"/>
  <c r="N400" i="1"/>
  <c r="T53" i="2"/>
  <c r="G23" i="2"/>
  <c r="N143" i="1"/>
  <c r="I58" i="1"/>
  <c r="I103" i="1"/>
  <c r="S203" i="1"/>
  <c r="Q30" i="1"/>
  <c r="P72" i="2"/>
  <c r="E397" i="1"/>
  <c r="L436" i="1"/>
  <c r="N264" i="1"/>
  <c r="M306" i="1"/>
  <c r="AA228" i="1"/>
  <c r="Q67" i="1"/>
  <c r="X49" i="2"/>
  <c r="E4" i="1"/>
  <c r="G112" i="1"/>
  <c r="N203" i="1"/>
  <c r="R97" i="2"/>
  <c r="D68" i="2"/>
  <c r="G374" i="1"/>
  <c r="O109" i="1"/>
  <c r="P396" i="1"/>
  <c r="L40" i="1"/>
  <c r="R17" i="1"/>
  <c r="U92" i="2"/>
  <c r="X6" i="2"/>
  <c r="T361" i="1"/>
  <c r="L489" i="1"/>
  <c r="G310" i="1"/>
  <c r="Q506" i="1"/>
  <c r="H23" i="2"/>
  <c r="M460" i="1"/>
  <c r="T372" i="1"/>
  <c r="F481" i="1"/>
  <c r="W30" i="2"/>
  <c r="Q406" i="1"/>
  <c r="D140" i="1"/>
  <c r="S66" i="1"/>
  <c r="E202" i="1"/>
  <c r="O135" i="1"/>
  <c r="D76" i="2"/>
  <c r="O300" i="1"/>
  <c r="AH33" i="2"/>
  <c r="G108" i="1"/>
  <c r="Z382" i="1"/>
  <c r="N101" i="1"/>
  <c r="S209" i="1"/>
  <c r="D369" i="1"/>
  <c r="M295" i="1"/>
  <c r="Q533" i="1"/>
  <c r="V90" i="2"/>
  <c r="D268" i="1"/>
  <c r="Z486" i="1"/>
  <c r="G43" i="2"/>
  <c r="T202" i="1"/>
  <c r="Q477" i="1"/>
  <c r="R118" i="1"/>
  <c r="I389" i="1"/>
  <c r="F69" i="2"/>
  <c r="N61" i="2"/>
  <c r="R244" i="1"/>
  <c r="AB80" i="1"/>
  <c r="T152" i="1"/>
  <c r="Q5" i="1"/>
  <c r="Q512" i="1"/>
  <c r="M61" i="1"/>
  <c r="F6" i="1"/>
  <c r="G241" i="1"/>
  <c r="AJ38" i="2"/>
  <c r="N362" i="1"/>
  <c r="R534" i="1"/>
  <c r="Q269" i="1"/>
  <c r="T179" i="1"/>
  <c r="U59" i="2"/>
  <c r="AA21" i="1"/>
  <c r="N62" i="2"/>
  <c r="D357" i="1"/>
  <c r="G503" i="1"/>
  <c r="F223" i="1"/>
  <c r="T423" i="1"/>
  <c r="N25" i="1"/>
  <c r="D427" i="1"/>
  <c r="AB359" i="1"/>
  <c r="Q84" i="1"/>
  <c r="AB11" i="1"/>
  <c r="N342" i="1"/>
  <c r="AA469" i="1"/>
  <c r="L217" i="1"/>
  <c r="T326" i="1"/>
  <c r="AB15" i="1"/>
  <c r="I158" i="1"/>
  <c r="X80" i="2"/>
  <c r="T364" i="1"/>
  <c r="M92" i="2"/>
  <c r="L319" i="1"/>
  <c r="R50" i="1"/>
  <c r="Z31" i="1"/>
  <c r="T499" i="1"/>
  <c r="M268" i="1"/>
  <c r="Q377" i="1"/>
  <c r="V108" i="2"/>
  <c r="R312" i="1"/>
  <c r="U14" i="2"/>
  <c r="E148" i="1"/>
  <c r="X151" i="1"/>
  <c r="P491" i="1"/>
  <c r="O417" i="1"/>
  <c r="D317" i="1"/>
  <c r="S202" i="1"/>
  <c r="F64" i="1"/>
  <c r="P375" i="1"/>
  <c r="D233" i="1"/>
  <c r="N30" i="1"/>
  <c r="L361" i="1"/>
  <c r="L352" i="1"/>
  <c r="Q267" i="1"/>
  <c r="E78" i="1"/>
  <c r="E297" i="1"/>
  <c r="S528" i="1"/>
  <c r="E534" i="1"/>
  <c r="AA29" i="1"/>
  <c r="Z268" i="1"/>
  <c r="P317" i="1"/>
  <c r="D101" i="2"/>
  <c r="Q345" i="1"/>
  <c r="R290" i="1"/>
  <c r="AD22" i="2"/>
  <c r="X60" i="2"/>
  <c r="H84" i="2"/>
  <c r="G16" i="2"/>
  <c r="R3" i="1"/>
  <c r="F426" i="1"/>
  <c r="R522" i="1"/>
  <c r="A85" i="2"/>
  <c r="D59" i="1"/>
  <c r="F3" i="1"/>
  <c r="S258" i="1"/>
  <c r="P9" i="1"/>
  <c r="Q239" i="1"/>
  <c r="P25" i="2"/>
  <c r="AD10" i="2"/>
  <c r="AA30" i="1"/>
  <c r="X33" i="2"/>
  <c r="F237" i="1"/>
  <c r="I407" i="1"/>
  <c r="S231" i="1"/>
  <c r="AA191" i="1"/>
  <c r="N90" i="1"/>
  <c r="S310" i="1"/>
  <c r="E50" i="2"/>
  <c r="R32" i="2"/>
  <c r="T61" i="1"/>
  <c r="T418" i="1"/>
  <c r="D416" i="1"/>
  <c r="E303" i="1"/>
  <c r="F301" i="1"/>
  <c r="R404" i="1"/>
  <c r="AE28" i="2"/>
  <c r="W83" i="2"/>
  <c r="V39" i="2"/>
  <c r="H97" i="2"/>
  <c r="L169" i="1"/>
  <c r="I200" i="1"/>
  <c r="S500" i="1"/>
  <c r="E176" i="1"/>
  <c r="N488" i="1"/>
  <c r="X109" i="2"/>
  <c r="F188" i="1"/>
  <c r="S45" i="2"/>
  <c r="S132" i="1"/>
  <c r="T81" i="2"/>
  <c r="A4" i="2"/>
  <c r="S330" i="1"/>
  <c r="Z207" i="1"/>
  <c r="D201" i="1"/>
  <c r="I228" i="1"/>
  <c r="S372" i="1"/>
  <c r="J72" i="2"/>
  <c r="F513" i="1"/>
  <c r="AB506" i="1"/>
  <c r="P100" i="2"/>
  <c r="R35" i="2"/>
  <c r="O28" i="1"/>
  <c r="S144" i="1"/>
  <c r="U33" i="2"/>
  <c r="N521" i="1"/>
  <c r="F122" i="1"/>
  <c r="F465" i="1"/>
  <c r="S455" i="1"/>
  <c r="Z408" i="1"/>
  <c r="N13" i="2"/>
  <c r="G12" i="1"/>
  <c r="AG44" i="2"/>
  <c r="T406" i="1"/>
  <c r="T151" i="1"/>
  <c r="P83" i="2"/>
  <c r="P232" i="1"/>
  <c r="AA426" i="1"/>
  <c r="F22" i="2"/>
  <c r="R524" i="1"/>
  <c r="P84" i="2"/>
  <c r="P151" i="1"/>
  <c r="M316" i="1"/>
  <c r="X448" i="1"/>
  <c r="Q321" i="1"/>
  <c r="Z229" i="1"/>
  <c r="AF54" i="2"/>
  <c r="M475" i="1"/>
  <c r="A94" i="2"/>
  <c r="R449" i="1"/>
  <c r="AB190" i="1"/>
  <c r="F218" i="1"/>
  <c r="D208" i="1"/>
  <c r="AB394" i="1"/>
  <c r="Z505" i="1"/>
  <c r="Q417" i="1"/>
  <c r="AB460" i="1"/>
  <c r="F78" i="1"/>
  <c r="O458" i="1"/>
  <c r="M238" i="1"/>
  <c r="S233" i="1"/>
  <c r="Z143" i="1"/>
  <c r="G399" i="1"/>
  <c r="M59" i="1"/>
  <c r="AA522" i="1"/>
  <c r="I320" i="1"/>
  <c r="F132" i="1"/>
  <c r="M352" i="1"/>
  <c r="Z119" i="1"/>
  <c r="F92" i="1"/>
  <c r="T495" i="1"/>
  <c r="N270" i="1"/>
  <c r="R482" i="1"/>
  <c r="P91" i="2"/>
  <c r="D93" i="1"/>
  <c r="O139" i="1"/>
  <c r="R14" i="1"/>
  <c r="Q156" i="1"/>
  <c r="D194" i="1"/>
  <c r="E111" i="1"/>
  <c r="P39" i="1"/>
  <c r="Z223" i="1"/>
  <c r="AA394" i="1"/>
  <c r="L506" i="1"/>
  <c r="I492" i="1"/>
  <c r="E74" i="1"/>
  <c r="O406" i="1"/>
  <c r="F40" i="1"/>
  <c r="G57" i="2"/>
  <c r="AA59" i="1"/>
  <c r="E5" i="1"/>
  <c r="I324" i="1"/>
  <c r="T12" i="2"/>
  <c r="R311" i="1"/>
  <c r="AA311" i="1"/>
  <c r="E418" i="1"/>
  <c r="G231" i="1"/>
  <c r="Q11" i="1"/>
  <c r="M267" i="1"/>
  <c r="AA340" i="1"/>
  <c r="G295" i="1"/>
  <c r="L311" i="1"/>
  <c r="U6" i="2"/>
  <c r="E14" i="1"/>
  <c r="N75" i="1"/>
  <c r="N387" i="1"/>
  <c r="P345" i="1"/>
  <c r="P407" i="1"/>
  <c r="R97" i="1"/>
  <c r="S507" i="1"/>
  <c r="AA501" i="1"/>
  <c r="AB60" i="2"/>
  <c r="AB185" i="1"/>
  <c r="D281" i="1"/>
  <c r="I508" i="1"/>
  <c r="G264" i="1"/>
  <c r="V77" i="2"/>
  <c r="I222" i="1"/>
  <c r="Q199" i="1"/>
  <c r="E25" i="2"/>
  <c r="F505" i="1"/>
  <c r="D80" i="2"/>
  <c r="X15" i="2"/>
  <c r="U23" i="2"/>
  <c r="AD31" i="2"/>
  <c r="D379" i="1"/>
  <c r="Q491" i="1"/>
  <c r="L326" i="1"/>
  <c r="G33" i="2"/>
  <c r="T72" i="2"/>
  <c r="G12" i="2"/>
  <c r="M262" i="1"/>
  <c r="L306" i="1"/>
  <c r="Z371" i="1"/>
  <c r="AE95" i="2"/>
  <c r="M75" i="1"/>
  <c r="N464" i="1"/>
  <c r="J45" i="2"/>
  <c r="N91" i="2"/>
  <c r="S523" i="1"/>
  <c r="T172" i="1"/>
  <c r="J92" i="2"/>
  <c r="O31" i="2"/>
  <c r="G40" i="2"/>
  <c r="R25" i="2"/>
  <c r="I242" i="1"/>
  <c r="Q219" i="1"/>
  <c r="U66" i="2"/>
  <c r="Z151" i="1"/>
  <c r="F20" i="2"/>
  <c r="AB155" i="1"/>
  <c r="Q316" i="1"/>
  <c r="N27" i="2"/>
  <c r="I123" i="1"/>
  <c r="O360" i="1"/>
  <c r="A5" i="2"/>
  <c r="G459" i="1"/>
  <c r="R135" i="1"/>
  <c r="R441" i="1"/>
  <c r="G296" i="1"/>
  <c r="M314" i="1"/>
  <c r="S260" i="1"/>
  <c r="AB187" i="1"/>
  <c r="AD43" i="2"/>
  <c r="D180" i="1"/>
  <c r="J62" i="2"/>
  <c r="AA509" i="1"/>
  <c r="G481" i="1"/>
  <c r="P427" i="1"/>
  <c r="W1" i="2"/>
  <c r="Q464" i="1"/>
  <c r="N99" i="1"/>
  <c r="N111" i="1"/>
  <c r="L510" i="1"/>
  <c r="L293" i="1"/>
  <c r="AD53" i="2"/>
  <c r="P336" i="1"/>
  <c r="M298" i="1"/>
  <c r="I83" i="1"/>
  <c r="U9" i="2"/>
  <c r="G51" i="2"/>
  <c r="Q371" i="1"/>
  <c r="I119" i="1"/>
  <c r="AG38" i="2"/>
  <c r="P97" i="2"/>
  <c r="M259" i="1"/>
  <c r="D213" i="1"/>
  <c r="T392" i="1"/>
  <c r="T119" i="1"/>
  <c r="T394" i="1"/>
  <c r="O132" i="1"/>
  <c r="M260" i="1"/>
  <c r="G143" i="1"/>
  <c r="L474" i="1"/>
  <c r="R301" i="1"/>
  <c r="D273" i="1"/>
  <c r="AA260" i="1"/>
  <c r="R115" i="1"/>
  <c r="E415" i="1"/>
  <c r="M169" i="1"/>
  <c r="E331" i="1"/>
  <c r="AB152" i="1"/>
  <c r="F469" i="1"/>
  <c r="X35" i="2"/>
  <c r="F74" i="2"/>
  <c r="N527" i="1"/>
  <c r="N383" i="1"/>
  <c r="L197" i="1"/>
  <c r="T21" i="1"/>
  <c r="AA511" i="1"/>
  <c r="N308" i="1"/>
  <c r="Q272" i="1"/>
  <c r="P11" i="1"/>
  <c r="I509" i="1"/>
  <c r="S388" i="1"/>
  <c r="E203" i="1"/>
  <c r="M23" i="2"/>
  <c r="P174" i="1"/>
  <c r="Z482" i="1"/>
  <c r="D461" i="1"/>
  <c r="P249" i="1"/>
  <c r="D34" i="1"/>
  <c r="G318" i="1"/>
  <c r="L99" i="1"/>
  <c r="Q137" i="1"/>
  <c r="V153" i="1"/>
  <c r="Q478" i="1"/>
  <c r="Z142" i="1"/>
  <c r="I484" i="1"/>
  <c r="AA47" i="1"/>
  <c r="AH37" i="2"/>
  <c r="R103" i="1"/>
  <c r="N107" i="1"/>
  <c r="F441" i="1"/>
  <c r="E30" i="1"/>
  <c r="F109" i="1"/>
  <c r="Z109" i="1"/>
  <c r="S290" i="1"/>
  <c r="F528" i="1"/>
  <c r="O112" i="1"/>
  <c r="X58" i="2"/>
  <c r="F425" i="1"/>
  <c r="G233" i="1"/>
  <c r="R237" i="1"/>
  <c r="I268" i="1"/>
  <c r="AA15" i="1"/>
  <c r="T79" i="2"/>
  <c r="Q15" i="1"/>
  <c r="O32" i="1"/>
  <c r="M347" i="1"/>
  <c r="H57" i="2"/>
  <c r="AA526" i="1"/>
  <c r="G309" i="1"/>
  <c r="G461" i="1"/>
  <c r="D226" i="1"/>
  <c r="P523" i="1"/>
  <c r="I14" i="1"/>
  <c r="Z337" i="1"/>
  <c r="F400" i="1"/>
  <c r="Q362" i="1"/>
  <c r="N72" i="2"/>
  <c r="W87" i="2"/>
  <c r="V67" i="2"/>
  <c r="N15" i="1"/>
  <c r="Q25" i="2"/>
  <c r="D215" i="1"/>
  <c r="D403" i="1"/>
  <c r="AJ77" i="2"/>
  <c r="M341" i="1"/>
  <c r="S522" i="1"/>
  <c r="Q487" i="1"/>
  <c r="G349" i="1"/>
  <c r="AA193" i="1"/>
  <c r="AB336" i="1"/>
  <c r="M13" i="1"/>
  <c r="I489" i="1"/>
  <c r="S60" i="1"/>
  <c r="N63" i="2"/>
  <c r="C53" i="2"/>
  <c r="I112" i="1"/>
  <c r="N77" i="1"/>
  <c r="V97" i="2"/>
  <c r="T404" i="1"/>
  <c r="L499" i="1"/>
  <c r="Q144" i="1"/>
  <c r="AA23" i="1"/>
  <c r="AD9" i="2"/>
  <c r="M80" i="1"/>
  <c r="P20" i="2"/>
  <c r="R289" i="1"/>
  <c r="AB225" i="1"/>
  <c r="N408" i="1"/>
  <c r="T362" i="1"/>
  <c r="O509" i="1"/>
  <c r="P90" i="2"/>
  <c r="AG40" i="2"/>
  <c r="Z62" i="1"/>
  <c r="M452" i="1"/>
  <c r="P273" i="1"/>
  <c r="AB91" i="1"/>
  <c r="F315" i="1"/>
  <c r="T212" i="1"/>
  <c r="M182" i="1"/>
  <c r="D189" i="1"/>
  <c r="F146" i="1"/>
  <c r="O96" i="2"/>
  <c r="T358" i="1"/>
  <c r="T481" i="1"/>
  <c r="S19" i="1"/>
  <c r="Q396" i="1"/>
  <c r="W77" i="1"/>
  <c r="W19" i="2"/>
  <c r="S187" i="1"/>
  <c r="M57" i="1"/>
  <c r="Q225" i="1"/>
  <c r="AB224" i="1"/>
  <c r="T382" i="1"/>
  <c r="G288" i="1"/>
  <c r="Q437" i="1"/>
  <c r="M299" i="1"/>
  <c r="T46" i="2"/>
  <c r="Q243" i="1"/>
  <c r="P207" i="1"/>
  <c r="AA240" i="1"/>
  <c r="F8" i="1"/>
  <c r="G34" i="2"/>
  <c r="AA116" i="1"/>
  <c r="V55" i="2"/>
  <c r="F519" i="1"/>
  <c r="X439" i="1"/>
  <c r="R19" i="2"/>
  <c r="V32" i="2"/>
  <c r="E216" i="1"/>
  <c r="R214" i="1"/>
  <c r="E20" i="2"/>
  <c r="Q244" i="1"/>
  <c r="F307" i="1"/>
  <c r="R229" i="1"/>
  <c r="T314" i="1"/>
  <c r="R187" i="1"/>
  <c r="R20" i="2"/>
  <c r="Q240" i="1"/>
  <c r="Z19" i="1"/>
  <c r="M179" i="1"/>
  <c r="F527" i="1"/>
  <c r="G464" i="1"/>
  <c r="F128" i="1"/>
  <c r="F116" i="1"/>
  <c r="P160" i="1"/>
  <c r="M139" i="1"/>
  <c r="E372" i="1"/>
  <c r="E420" i="1"/>
  <c r="T262" i="1"/>
  <c r="S332" i="1"/>
  <c r="G492" i="1"/>
  <c r="G70" i="2"/>
  <c r="T378" i="1"/>
  <c r="M290" i="1"/>
  <c r="AB295" i="1"/>
  <c r="V111" i="2"/>
  <c r="AB400" i="1"/>
  <c r="I311" i="1"/>
  <c r="S474" i="1"/>
  <c r="Z179" i="1"/>
  <c r="E128" i="1"/>
  <c r="I382" i="1"/>
  <c r="T318" i="1"/>
  <c r="V50" i="2"/>
  <c r="V156" i="1"/>
  <c r="G79" i="1"/>
  <c r="P361" i="1"/>
  <c r="F136" i="1"/>
  <c r="P26" i="2"/>
  <c r="M95" i="2"/>
  <c r="T491" i="1"/>
  <c r="F353" i="1"/>
  <c r="R344" i="1"/>
  <c r="Q149" i="1"/>
  <c r="AA232" i="1"/>
  <c r="F389" i="1"/>
  <c r="S273" i="1"/>
  <c r="O35" i="2"/>
  <c r="D174" i="1"/>
  <c r="R414" i="1"/>
  <c r="D65" i="2"/>
  <c r="L497" i="1"/>
  <c r="Z214" i="1"/>
  <c r="Q433" i="1"/>
  <c r="AA7" i="1"/>
  <c r="O193" i="1"/>
  <c r="I216" i="1"/>
  <c r="G2" i="2"/>
  <c r="D161" i="1"/>
  <c r="AG15" i="2"/>
  <c r="Q381" i="1"/>
  <c r="E457" i="1"/>
  <c r="F433" i="1"/>
  <c r="W35" i="2"/>
  <c r="P150" i="1"/>
  <c r="G91" i="1"/>
  <c r="R466" i="1"/>
  <c r="N130" i="1"/>
  <c r="Z501" i="1"/>
  <c r="M364" i="1"/>
  <c r="F133" i="1"/>
  <c r="AB387" i="1"/>
  <c r="Z3" i="1"/>
  <c r="R29" i="1"/>
  <c r="D212" i="1"/>
  <c r="AH42" i="2"/>
  <c r="AA157" i="1"/>
  <c r="W70" i="2"/>
  <c r="AB340" i="1"/>
  <c r="E185" i="1"/>
  <c r="AB242" i="1"/>
  <c r="S302" i="1"/>
  <c r="S242" i="1"/>
  <c r="E364" i="1"/>
  <c r="I373" i="1"/>
  <c r="T35" i="2"/>
  <c r="AB353" i="1"/>
  <c r="W501" i="1"/>
  <c r="D361" i="1"/>
  <c r="Q483" i="1"/>
  <c r="R340" i="1"/>
  <c r="R139" i="1"/>
  <c r="F4" i="1"/>
  <c r="V52" i="2"/>
  <c r="I349" i="1"/>
  <c r="AA215" i="1"/>
  <c r="L441" i="1"/>
  <c r="AA137" i="1"/>
  <c r="R475" i="1"/>
  <c r="L509" i="1"/>
  <c r="Z301" i="1"/>
  <c r="P14" i="1"/>
  <c r="F17" i="1"/>
  <c r="AA324" i="1"/>
  <c r="P46" i="2"/>
  <c r="S56" i="2"/>
  <c r="L505" i="1"/>
  <c r="T232" i="1"/>
  <c r="D158" i="1"/>
  <c r="Q469" i="1"/>
  <c r="Z48" i="1"/>
  <c r="AG95" i="2"/>
  <c r="X54" i="2"/>
  <c r="D519" i="1"/>
  <c r="M399" i="1"/>
  <c r="P145" i="1"/>
  <c r="D323" i="1"/>
  <c r="Q147" i="1"/>
  <c r="T126" i="1"/>
  <c r="U81" i="2"/>
  <c r="D412" i="1"/>
  <c r="N55" i="2"/>
  <c r="F202" i="1"/>
  <c r="S338" i="1"/>
  <c r="I38" i="1"/>
  <c r="I403" i="1"/>
  <c r="O251" i="1"/>
  <c r="O492" i="1"/>
  <c r="R390" i="1"/>
  <c r="R64" i="1"/>
  <c r="A40" i="2"/>
  <c r="G9" i="2"/>
  <c r="P376" i="1"/>
  <c r="S345" i="1"/>
  <c r="R268" i="1"/>
  <c r="Z342" i="1"/>
  <c r="R147" i="1"/>
  <c r="N207" i="1"/>
  <c r="AA149" i="1"/>
  <c r="Q188" i="1"/>
  <c r="N509" i="1"/>
  <c r="D264" i="1"/>
  <c r="G60" i="1"/>
  <c r="R113" i="1"/>
  <c r="AB160" i="1"/>
  <c r="I96" i="1"/>
  <c r="P199" i="1"/>
  <c r="N428" i="1"/>
  <c r="S24" i="2"/>
  <c r="Z302" i="1"/>
  <c r="N341" i="1"/>
  <c r="F97" i="2"/>
  <c r="P390" i="1"/>
  <c r="X107" i="2"/>
  <c r="E44" i="1"/>
  <c r="D178" i="1"/>
  <c r="J103" i="2"/>
  <c r="Q465" i="1"/>
  <c r="F295" i="1"/>
  <c r="D202" i="1"/>
  <c r="Q313" i="1"/>
  <c r="G379" i="1"/>
  <c r="F162" i="1"/>
  <c r="AB170" i="1"/>
  <c r="L91" i="1"/>
  <c r="R94" i="1"/>
  <c r="D275" i="1"/>
  <c r="S244" i="1"/>
  <c r="M301" i="1"/>
  <c r="T464" i="1"/>
  <c r="Z218" i="1"/>
  <c r="D129" i="1"/>
  <c r="AB87" i="2"/>
  <c r="D478" i="1"/>
  <c r="V49" i="2"/>
  <c r="R17" i="2"/>
  <c r="L398" i="1"/>
  <c r="T35" i="1"/>
  <c r="F26" i="2"/>
  <c r="S140" i="1"/>
  <c r="N176" i="1"/>
  <c r="E241" i="1"/>
  <c r="S393" i="1"/>
  <c r="M68" i="1"/>
  <c r="F18" i="2"/>
  <c r="X378" i="1"/>
  <c r="N60" i="2"/>
  <c r="G38" i="1"/>
  <c r="Q133" i="1"/>
  <c r="I224" i="1"/>
  <c r="N462" i="1"/>
  <c r="P30" i="1"/>
  <c r="F332" i="1"/>
  <c r="N10" i="1"/>
  <c r="M487" i="1"/>
  <c r="R51" i="2"/>
  <c r="I363" i="1"/>
  <c r="T253" i="1"/>
  <c r="N328" i="1"/>
  <c r="I138" i="1"/>
  <c r="P367" i="1"/>
  <c r="AB27" i="1"/>
  <c r="P503" i="1"/>
  <c r="I369" i="1"/>
  <c r="M6" i="1"/>
  <c r="S224" i="1"/>
  <c r="R72" i="1"/>
  <c r="M111" i="1"/>
  <c r="E138" i="1"/>
  <c r="R156" i="1"/>
  <c r="D19" i="1"/>
  <c r="G351" i="1"/>
  <c r="L329" i="1"/>
  <c r="D57" i="2"/>
  <c r="AA218" i="1"/>
  <c r="G13" i="2"/>
  <c r="P368" i="1"/>
  <c r="F71" i="1"/>
  <c r="Z57" i="1"/>
  <c r="H33" i="2"/>
  <c r="I194" i="1"/>
  <c r="S54" i="2"/>
  <c r="W90" i="2"/>
  <c r="O407" i="1"/>
  <c r="X440" i="1"/>
  <c r="N158" i="1"/>
  <c r="T74" i="1"/>
  <c r="J7" i="2"/>
  <c r="O229" i="1"/>
  <c r="O30" i="1"/>
  <c r="Z1" i="2"/>
  <c r="Q295" i="1"/>
  <c r="R376" i="1"/>
  <c r="Q361" i="1"/>
  <c r="Q169" i="1"/>
  <c r="Q374" i="1"/>
  <c r="L176" i="1"/>
  <c r="T195" i="1"/>
  <c r="AA312" i="1"/>
  <c r="Q36" i="1"/>
  <c r="Q62" i="2"/>
  <c r="AD97" i="2"/>
  <c r="L313" i="1"/>
  <c r="Q95" i="1"/>
  <c r="I85" i="1"/>
  <c r="N33" i="1"/>
  <c r="AA296" i="1"/>
  <c r="M264" i="1"/>
  <c r="Z84" i="1"/>
  <c r="Z27" i="1"/>
  <c r="U98" i="2"/>
  <c r="D222" i="1"/>
  <c r="D376" i="1"/>
  <c r="P19" i="2"/>
  <c r="P129" i="1"/>
  <c r="D260" i="1"/>
  <c r="E213" i="1"/>
  <c r="X48" i="1"/>
  <c r="Z250" i="1"/>
  <c r="Q151" i="1"/>
  <c r="F55" i="2"/>
  <c r="T487" i="1"/>
  <c r="S43" i="2"/>
  <c r="G232" i="1"/>
  <c r="A89" i="2"/>
  <c r="A20" i="2"/>
  <c r="N59" i="2"/>
  <c r="T103" i="2"/>
  <c r="N94" i="2"/>
  <c r="G202" i="1"/>
  <c r="P501" i="1"/>
  <c r="P498" i="1"/>
  <c r="M413" i="1"/>
  <c r="S13" i="1"/>
  <c r="D352" i="1"/>
  <c r="Q348" i="1"/>
  <c r="H62" i="2"/>
  <c r="D103" i="1"/>
  <c r="M84" i="1"/>
  <c r="Q509" i="1"/>
  <c r="M44" i="2"/>
  <c r="AE41" i="2"/>
  <c r="S272" i="1"/>
  <c r="X66" i="2"/>
  <c r="AB172" i="1"/>
  <c r="L378" i="1"/>
  <c r="M150" i="1"/>
  <c r="T176" i="1"/>
  <c r="S210" i="1"/>
  <c r="S289" i="1"/>
  <c r="AE1" i="2"/>
  <c r="I115" i="1"/>
  <c r="AH43" i="2"/>
  <c r="AA64" i="1"/>
  <c r="R278" i="1"/>
  <c r="D255" i="1"/>
  <c r="P57" i="2"/>
  <c r="L526" i="1"/>
  <c r="F458" i="1"/>
  <c r="T17" i="1"/>
  <c r="S235" i="1"/>
  <c r="S148" i="1"/>
  <c r="G507" i="1"/>
  <c r="M325" i="1"/>
  <c r="G327" i="1"/>
  <c r="Z511" i="1"/>
  <c r="M337" i="1"/>
  <c r="L359" i="1"/>
  <c r="P52" i="2"/>
  <c r="I459" i="1"/>
  <c r="Z318" i="1"/>
  <c r="AA295" i="1"/>
  <c r="AB510" i="1"/>
  <c r="AB164" i="1"/>
  <c r="E108" i="2"/>
  <c r="D38" i="2"/>
  <c r="R339" i="1"/>
  <c r="N66" i="2"/>
  <c r="I513" i="1"/>
  <c r="M12" i="2"/>
  <c r="Q352" i="1"/>
  <c r="H86" i="2"/>
  <c r="X8" i="2"/>
  <c r="F502" i="1"/>
  <c r="T34" i="1"/>
  <c r="Q317" i="1"/>
  <c r="Z85" i="1"/>
  <c r="S402" i="1"/>
  <c r="R21" i="1"/>
  <c r="AD95" i="2"/>
  <c r="S293" i="1"/>
  <c r="AG39" i="2"/>
  <c r="M45" i="2"/>
  <c r="F407" i="1"/>
  <c r="E11" i="1"/>
  <c r="N359" i="1"/>
  <c r="S106" i="2"/>
  <c r="AA140" i="1"/>
  <c r="L461" i="1"/>
  <c r="S464" i="1"/>
  <c r="F34" i="2"/>
  <c r="M241" i="1"/>
  <c r="AA316" i="1"/>
  <c r="AH35" i="2"/>
  <c r="L93" i="1"/>
  <c r="Q92" i="1"/>
  <c r="Q302" i="1"/>
  <c r="D306" i="1"/>
  <c r="I500" i="1"/>
  <c r="E336" i="1"/>
  <c r="R369" i="1"/>
  <c r="I157" i="1"/>
  <c r="P189" i="1"/>
  <c r="G43" i="1"/>
  <c r="AH97" i="2"/>
  <c r="AA219" i="1"/>
  <c r="P122" i="1"/>
  <c r="E393" i="1"/>
  <c r="H12" i="2"/>
  <c r="Z468" i="1"/>
  <c r="AA373" i="1"/>
  <c r="S179" i="1"/>
  <c r="O43" i="1"/>
  <c r="N392" i="1"/>
  <c r="V38" i="2"/>
  <c r="F164" i="1"/>
  <c r="R242" i="1"/>
  <c r="AD73" i="2"/>
  <c r="L354" i="1"/>
  <c r="E144" i="1"/>
  <c r="AA379" i="1"/>
  <c r="S90" i="2"/>
  <c r="J25" i="2"/>
  <c r="Q424" i="1"/>
  <c r="I481" i="1"/>
  <c r="AE32" i="2"/>
  <c r="Z75" i="1"/>
  <c r="AA160" i="1"/>
  <c r="T377" i="1"/>
  <c r="I249" i="1"/>
  <c r="E29" i="2"/>
  <c r="G333" i="1"/>
  <c r="P15" i="1"/>
  <c r="P244" i="1"/>
  <c r="T505" i="1"/>
  <c r="S441" i="1"/>
  <c r="G371" i="1"/>
  <c r="I345" i="1"/>
  <c r="AD18" i="2"/>
  <c r="I160" i="1"/>
  <c r="E399" i="1"/>
  <c r="F414" i="1"/>
  <c r="M396" i="1"/>
  <c r="T422" i="1"/>
  <c r="Q143" i="1"/>
  <c r="X381" i="1"/>
  <c r="D137" i="1"/>
  <c r="N327" i="1"/>
  <c r="AA238" i="1"/>
  <c r="D143" i="1"/>
  <c r="P102" i="1"/>
  <c r="R247" i="1"/>
  <c r="T15" i="1"/>
  <c r="AA6" i="2"/>
  <c r="S17" i="1"/>
  <c r="L372" i="1"/>
  <c r="G107" i="1"/>
  <c r="I12" i="1"/>
  <c r="P511" i="1"/>
  <c r="T380" i="1"/>
  <c r="S135" i="1"/>
  <c r="W329" i="1"/>
  <c r="I210" i="1"/>
  <c r="N339" i="1"/>
  <c r="F191" i="1"/>
  <c r="S521" i="1"/>
  <c r="F328" i="1"/>
  <c r="U86" i="2"/>
  <c r="AG10" i="2"/>
  <c r="F372" i="1"/>
  <c r="D78" i="2"/>
  <c r="G512" i="1"/>
  <c r="L259" i="1"/>
  <c r="T420" i="1"/>
  <c r="S71" i="1"/>
  <c r="P187" i="1"/>
  <c r="D469" i="1"/>
  <c r="AF20" i="2"/>
  <c r="AD78" i="2"/>
  <c r="F390" i="1"/>
  <c r="T80" i="2"/>
  <c r="Q58" i="1"/>
  <c r="AB319" i="1"/>
  <c r="AB470" i="1"/>
  <c r="L488" i="1"/>
  <c r="I267" i="1"/>
  <c r="F159" i="1"/>
  <c r="F12" i="2"/>
  <c r="AE42" i="2"/>
  <c r="H78" i="2"/>
  <c r="E61" i="2"/>
  <c r="M26" i="2"/>
  <c r="D225" i="1"/>
  <c r="AA249" i="1"/>
  <c r="AA241" i="1"/>
  <c r="T383" i="1"/>
  <c r="F410" i="1"/>
  <c r="AB48" i="1"/>
  <c r="Z311" i="1"/>
  <c r="G370" i="1"/>
  <c r="M415" i="1"/>
  <c r="P387" i="1"/>
  <c r="M99" i="2"/>
  <c r="U57" i="2"/>
  <c r="O449" i="1"/>
  <c r="G228" i="1"/>
  <c r="Q353" i="1"/>
  <c r="W82" i="2"/>
  <c r="I362" i="1"/>
  <c r="N45" i="2"/>
  <c r="E421" i="1"/>
  <c r="N345" i="1"/>
  <c r="E6" i="2"/>
  <c r="T398" i="1"/>
  <c r="L136" i="1"/>
  <c r="F474" i="1"/>
  <c r="R487" i="1"/>
  <c r="I506" i="1"/>
  <c r="O85" i="2"/>
  <c r="S218" i="1"/>
  <c r="M254" i="1"/>
  <c r="D251" i="1"/>
  <c r="AB95" i="1"/>
  <c r="L362" i="1"/>
  <c r="L296" i="1"/>
  <c r="M62" i="1"/>
  <c r="D111" i="1"/>
  <c r="F313" i="1"/>
  <c r="W37" i="2"/>
  <c r="AA9" i="1"/>
  <c r="E190" i="1"/>
  <c r="I486" i="1"/>
  <c r="T22" i="1"/>
  <c r="E474" i="1"/>
  <c r="N418" i="1"/>
  <c r="I233" i="1"/>
  <c r="T160" i="1"/>
  <c r="D389" i="1"/>
  <c r="E27" i="1"/>
  <c r="Q139" i="1"/>
  <c r="Q96" i="1"/>
  <c r="G430" i="1"/>
  <c r="E141" i="1"/>
  <c r="D204" i="1"/>
  <c r="E95" i="1"/>
  <c r="N6" i="1"/>
  <c r="T488" i="1"/>
  <c r="AB492" i="1"/>
  <c r="R360" i="1"/>
  <c r="L490" i="1"/>
  <c r="R381" i="1"/>
  <c r="AB370" i="1"/>
  <c r="G317" i="1"/>
  <c r="I366" i="1"/>
  <c r="P17" i="1"/>
  <c r="S46" i="2"/>
  <c r="P80" i="2"/>
  <c r="S40" i="2"/>
  <c r="G84" i="2"/>
  <c r="W415" i="1"/>
  <c r="I371" i="1"/>
  <c r="D464" i="1"/>
  <c r="N18" i="1"/>
  <c r="A63" i="2"/>
  <c r="W43" i="2"/>
  <c r="AA115" i="1"/>
  <c r="F475" i="1"/>
  <c r="P156" i="1"/>
  <c r="D381" i="1"/>
  <c r="T296" i="1"/>
  <c r="S196" i="1"/>
  <c r="R205" i="1"/>
  <c r="P254" i="1"/>
  <c r="O50" i="2"/>
  <c r="M318" i="1"/>
  <c r="I253" i="1"/>
  <c r="D308" i="1"/>
  <c r="AB378" i="1"/>
  <c r="R90" i="1"/>
  <c r="Z404" i="1"/>
  <c r="S110" i="1"/>
  <c r="I514" i="1"/>
  <c r="E134" i="1"/>
  <c r="T6" i="2"/>
  <c r="M4" i="1"/>
  <c r="T397" i="1"/>
  <c r="I466" i="1"/>
  <c r="M359" i="1"/>
  <c r="D241" i="1"/>
  <c r="E150" i="1"/>
  <c r="G181" i="1"/>
  <c r="M315" i="1"/>
  <c r="Z299" i="1"/>
  <c r="G322" i="1"/>
  <c r="F154" i="1"/>
  <c r="O311" i="1"/>
  <c r="M199" i="1"/>
  <c r="S237" i="1"/>
  <c r="AB488" i="1"/>
  <c r="N348" i="1"/>
  <c r="O140" i="1"/>
  <c r="I323" i="1"/>
  <c r="AA293" i="1"/>
  <c r="Q113" i="1"/>
  <c r="N299" i="1"/>
  <c r="T461" i="1"/>
  <c r="T1" i="2"/>
  <c r="T175" i="1"/>
  <c r="R239" i="1"/>
  <c r="S439" i="1"/>
  <c r="R426" i="1"/>
  <c r="I375" i="1"/>
  <c r="I161" i="1"/>
  <c r="I330" i="1"/>
  <c r="AA461" i="1"/>
  <c r="P89" i="2"/>
  <c r="AB234" i="1"/>
  <c r="F344" i="1"/>
  <c r="R228" i="1"/>
  <c r="X85" i="2"/>
  <c r="I298" i="1"/>
  <c r="F439" i="1"/>
  <c r="J73" i="2"/>
  <c r="P96" i="1"/>
  <c r="E162" i="1"/>
  <c r="Q430" i="1"/>
  <c r="P23" i="2"/>
  <c r="Q162" i="1"/>
  <c r="M45" i="1"/>
  <c r="F346" i="1"/>
  <c r="D319" i="1"/>
  <c r="AG52" i="2"/>
  <c r="N54" i="2"/>
  <c r="G356" i="1"/>
  <c r="L370" i="1"/>
  <c r="S297" i="1"/>
  <c r="U74" i="2"/>
  <c r="F477" i="1"/>
  <c r="M484" i="1"/>
  <c r="N57" i="2"/>
  <c r="I437" i="1"/>
  <c r="AA43" i="1"/>
  <c r="AA370" i="1"/>
  <c r="AA499" i="1"/>
  <c r="I273" i="1"/>
  <c r="R373" i="1"/>
  <c r="S51" i="2"/>
  <c r="U49" i="2"/>
  <c r="N64" i="2"/>
  <c r="AA214" i="1"/>
  <c r="F388" i="1"/>
  <c r="J108" i="2"/>
  <c r="AD51" i="2"/>
  <c r="R458" i="1"/>
  <c r="E338" i="1"/>
  <c r="F138" i="1"/>
  <c r="N333" i="1"/>
  <c r="T43" i="2"/>
  <c r="O10" i="2"/>
  <c r="Z238" i="1"/>
  <c r="L23" i="1"/>
  <c r="R152" i="1"/>
  <c r="AA74" i="1"/>
  <c r="R436" i="1"/>
  <c r="J60" i="2"/>
  <c r="L191" i="1"/>
  <c r="M30" i="1"/>
  <c r="X64" i="2"/>
  <c r="Q83" i="1"/>
  <c r="G188" i="1"/>
  <c r="E347" i="1"/>
  <c r="S351" i="1"/>
  <c r="M324" i="1"/>
  <c r="O299" i="1"/>
  <c r="P26" i="1"/>
  <c r="F386" i="1"/>
  <c r="Q228" i="1"/>
  <c r="U88" i="2"/>
  <c r="AA189" i="1"/>
  <c r="N504" i="1"/>
  <c r="D221" i="1"/>
  <c r="L351" i="1"/>
  <c r="T531" i="1"/>
  <c r="Q336" i="1"/>
  <c r="R206" i="1"/>
  <c r="R324" i="1"/>
  <c r="AA93" i="1"/>
  <c r="F522" i="1"/>
  <c r="N219" i="1"/>
  <c r="I483" i="1"/>
  <c r="J44" i="2"/>
  <c r="D198" i="1"/>
  <c r="N118" i="1"/>
  <c r="U39" i="2"/>
  <c r="G67" i="2"/>
  <c r="AB30" i="2"/>
  <c r="Q290" i="1"/>
  <c r="D171" i="1"/>
  <c r="A88" i="2"/>
  <c r="L501" i="1"/>
  <c r="E325" i="1"/>
  <c r="L295" i="1"/>
  <c r="T459" i="1"/>
  <c r="I75" i="1"/>
  <c r="D505" i="1"/>
  <c r="E416" i="1"/>
  <c r="P241" i="1"/>
  <c r="N36" i="2"/>
  <c r="N138" i="1"/>
  <c r="D119" i="1"/>
  <c r="AH10" i="2"/>
  <c r="N34" i="2"/>
  <c r="E49" i="1"/>
  <c r="R81" i="2"/>
  <c r="L374" i="1"/>
  <c r="AB361" i="1"/>
  <c r="Z458" i="1"/>
  <c r="L496" i="1"/>
  <c r="E282" i="1"/>
  <c r="F35" i="1"/>
  <c r="Z359" i="1"/>
  <c r="O301" i="1"/>
  <c r="P140" i="1"/>
  <c r="F29" i="1"/>
  <c r="F364" i="1"/>
  <c r="T106" i="2"/>
  <c r="S433" i="1"/>
  <c r="Z394" i="1"/>
  <c r="N73" i="2"/>
  <c r="T473" i="1"/>
  <c r="M250" i="1"/>
  <c r="AA198" i="1"/>
  <c r="L249" i="1"/>
  <c r="Q172" i="1"/>
  <c r="L248" i="1"/>
  <c r="AA31" i="1"/>
  <c r="Z145" i="1"/>
  <c r="O91" i="2"/>
  <c r="T92" i="2"/>
  <c r="Z240" i="1"/>
  <c r="AA496" i="1"/>
  <c r="M242" i="1"/>
  <c r="Q259" i="1"/>
  <c r="M97" i="1"/>
  <c r="T412" i="1"/>
  <c r="AB263" i="1"/>
  <c r="S313" i="1"/>
  <c r="Q485" i="1"/>
  <c r="G457" i="1"/>
  <c r="L400" i="1"/>
  <c r="L173" i="1"/>
  <c r="D450" i="1"/>
  <c r="T244" i="1"/>
  <c r="D136" i="1"/>
  <c r="C317" i="1"/>
  <c r="S153" i="1"/>
  <c r="N11" i="2"/>
  <c r="T400" i="1"/>
  <c r="F178" i="1"/>
  <c r="N204" i="1"/>
  <c r="F139" i="1"/>
  <c r="I214" i="1"/>
  <c r="M215" i="1"/>
  <c r="W50" i="2"/>
  <c r="T131" i="1"/>
  <c r="F394" i="1"/>
  <c r="P340" i="1"/>
  <c r="X153" i="1"/>
  <c r="G110" i="1"/>
  <c r="N232" i="1"/>
  <c r="I336" i="1"/>
  <c r="G522" i="1"/>
  <c r="L508" i="1"/>
  <c r="AG4" i="2"/>
  <c r="D370" i="1"/>
  <c r="S30" i="2"/>
  <c r="I168" i="1"/>
  <c r="Q50" i="1"/>
  <c r="F72" i="1"/>
  <c r="F320" i="1"/>
  <c r="M232" i="1"/>
  <c r="A43" i="2"/>
  <c r="F190" i="1"/>
  <c r="P482" i="1"/>
  <c r="M116" i="1"/>
  <c r="D80" i="1"/>
  <c r="Z489" i="1"/>
  <c r="G52" i="2"/>
  <c r="P96" i="2"/>
  <c r="Q76" i="1"/>
  <c r="T158" i="1"/>
  <c r="E275" i="1"/>
  <c r="I244" i="1"/>
  <c r="O358" i="1"/>
  <c r="J56" i="2"/>
  <c r="T74" i="2"/>
  <c r="N82" i="1"/>
  <c r="AA178" i="1"/>
  <c r="N497" i="1"/>
  <c r="L416" i="1"/>
  <c r="I229" i="1"/>
  <c r="E514" i="1"/>
  <c r="P518" i="1"/>
  <c r="P327" i="1"/>
  <c r="AA176" i="1"/>
  <c r="Z339" i="1"/>
  <c r="I255" i="1"/>
  <c r="L531" i="1"/>
  <c r="R250" i="1"/>
  <c r="M388" i="1"/>
  <c r="AA5" i="2"/>
  <c r="P452" i="1"/>
  <c r="P170" i="1"/>
  <c r="N304" i="1"/>
  <c r="V9" i="2"/>
  <c r="S20" i="1"/>
  <c r="L244" i="1"/>
  <c r="A70" i="2"/>
  <c r="N191" i="1"/>
  <c r="P508" i="1"/>
  <c r="O1" i="1"/>
  <c r="U94" i="2"/>
  <c r="P158" i="1"/>
  <c r="N197" i="1"/>
  <c r="P100" i="1"/>
  <c r="I394" i="1"/>
  <c r="I351" i="1"/>
  <c r="M368" i="1"/>
  <c r="AA119" i="1"/>
  <c r="AB404" i="1"/>
  <c r="M367" i="1"/>
  <c r="AB30" i="1"/>
  <c r="AA332" i="1"/>
  <c r="O88" i="2"/>
  <c r="E90" i="1"/>
  <c r="W429" i="1"/>
  <c r="P526" i="1"/>
  <c r="Z253" i="1"/>
  <c r="T391" i="1"/>
  <c r="AA298" i="1"/>
  <c r="T72" i="1"/>
  <c r="G120" i="1"/>
  <c r="N318" i="1"/>
  <c r="L251" i="1"/>
  <c r="S418" i="1"/>
  <c r="D28" i="1"/>
  <c r="R58" i="1"/>
  <c r="P136" i="1"/>
  <c r="F213" i="1"/>
  <c r="N145" i="1"/>
  <c r="T60" i="1"/>
  <c r="R499" i="1"/>
  <c r="O65" i="2"/>
  <c r="Q275" i="1"/>
  <c r="D22" i="1"/>
  <c r="F163" i="1"/>
  <c r="L363" i="1"/>
  <c r="S92" i="2"/>
  <c r="AA224" i="1"/>
  <c r="W15" i="2"/>
  <c r="V73" i="2"/>
  <c r="N473" i="1"/>
  <c r="F99" i="1"/>
  <c r="N43" i="1"/>
  <c r="F312" i="1"/>
  <c r="F235" i="1"/>
  <c r="I439" i="1"/>
  <c r="D123" i="1"/>
  <c r="I293" i="1"/>
  <c r="G441" i="1"/>
  <c r="F5" i="1"/>
  <c r="Q189" i="1"/>
  <c r="Z387" i="1"/>
  <c r="T243" i="1"/>
  <c r="AB112" i="1"/>
  <c r="P49" i="2"/>
  <c r="AB453" i="1"/>
  <c r="F230" i="1"/>
  <c r="I442" i="1"/>
  <c r="AA103" i="1"/>
  <c r="N450" i="1"/>
  <c r="F187" i="1"/>
  <c r="I164" i="1"/>
  <c r="E71" i="1"/>
  <c r="S481" i="1"/>
  <c r="N479" i="1"/>
  <c r="G253" i="1"/>
  <c r="AB364" i="1"/>
  <c r="F369" i="1"/>
  <c r="G240" i="1"/>
  <c r="AB485" i="1"/>
  <c r="T109" i="2"/>
  <c r="T348" i="1"/>
  <c r="R202" i="1"/>
  <c r="D458" i="1"/>
  <c r="P204" i="1"/>
  <c r="AG11" i="2"/>
  <c r="G491" i="1"/>
  <c r="AB297" i="1"/>
  <c r="F24" i="2"/>
  <c r="L481" i="1"/>
  <c r="O53" i="2"/>
  <c r="L356" i="1"/>
  <c r="L327" i="1"/>
  <c r="T219" i="1"/>
  <c r="O17" i="2"/>
  <c r="O489" i="1"/>
  <c r="R216" i="1"/>
  <c r="G433" i="1"/>
  <c r="N325" i="1"/>
  <c r="V56" i="2"/>
  <c r="R328" i="1"/>
  <c r="G158" i="1"/>
  <c r="I43" i="1"/>
  <c r="N134" i="1"/>
  <c r="O6" i="2"/>
  <c r="N485" i="1"/>
  <c r="P379" i="1"/>
  <c r="S12" i="1"/>
  <c r="F509" i="1"/>
  <c r="Q527" i="1"/>
  <c r="T198" i="1"/>
  <c r="P513" i="1"/>
  <c r="G268" i="1"/>
  <c r="R532" i="1"/>
  <c r="E424" i="1"/>
  <c r="Q389" i="1"/>
  <c r="AA180" i="1"/>
  <c r="N28" i="2"/>
  <c r="E362" i="1"/>
  <c r="Z80" i="1"/>
  <c r="R75" i="1"/>
  <c r="F240" i="1"/>
  <c r="AB298" i="1"/>
  <c r="F234" i="1"/>
  <c r="V22" i="2"/>
  <c r="AG77" i="2"/>
  <c r="G71" i="1"/>
  <c r="G6" i="1"/>
  <c r="J57" i="2"/>
  <c r="P176" i="1"/>
  <c r="Z111" i="1"/>
  <c r="L78" i="1"/>
  <c r="K1" i="2"/>
  <c r="I5" i="1"/>
  <c r="A98" i="2"/>
  <c r="O488" i="1"/>
  <c r="I432" i="1"/>
  <c r="I260" i="1"/>
  <c r="J15" i="2"/>
  <c r="E306" i="1"/>
  <c r="T298" i="1"/>
  <c r="N78" i="2"/>
  <c r="R382" i="1"/>
  <c r="N520" i="1"/>
  <c r="L240" i="1"/>
  <c r="F25" i="2"/>
  <c r="L218" i="1"/>
  <c r="R158" i="1"/>
  <c r="T307" i="1"/>
  <c r="N363" i="1"/>
  <c r="AB500" i="1"/>
  <c r="T95" i="2"/>
  <c r="E466" i="1"/>
  <c r="AA524" i="1"/>
  <c r="F338" i="1"/>
  <c r="E388" i="1"/>
  <c r="T511" i="1"/>
  <c r="G326" i="1"/>
  <c r="F238" i="1"/>
  <c r="AJ41" i="2"/>
  <c r="Q520" i="1"/>
  <c r="AA321" i="1"/>
  <c r="D439" i="1"/>
  <c r="S252" i="1"/>
  <c r="P355" i="1"/>
  <c r="D173" i="1"/>
  <c r="M92" i="1"/>
  <c r="L360" i="1"/>
  <c r="S64" i="2"/>
  <c r="U21" i="2"/>
  <c r="E267" i="1"/>
  <c r="AF29" i="2"/>
  <c r="M467" i="1"/>
  <c r="S511" i="1"/>
  <c r="A82" i="2"/>
  <c r="G521" i="1"/>
  <c r="S429" i="1"/>
  <c r="R350" i="1"/>
  <c r="E392" i="1"/>
  <c r="F145" i="1"/>
  <c r="S257" i="1"/>
  <c r="D85" i="1"/>
  <c r="N398" i="1"/>
  <c r="T58" i="2"/>
  <c r="N230" i="1"/>
  <c r="W76" i="1"/>
  <c r="N513" i="1"/>
  <c r="O252" i="1"/>
  <c r="N205" i="1"/>
  <c r="AA250" i="1"/>
  <c r="M504" i="1"/>
  <c r="G388" i="1"/>
  <c r="L462" i="1"/>
  <c r="F222" i="1"/>
  <c r="F175" i="1"/>
  <c r="AA146" i="1"/>
  <c r="M88" i="2"/>
  <c r="S197" i="1"/>
  <c r="D299" i="1"/>
  <c r="I523" i="1"/>
  <c r="R327" i="1"/>
  <c r="G302" i="1"/>
  <c r="G483" i="1"/>
  <c r="S152" i="1"/>
  <c r="O61" i="2"/>
  <c r="R410" i="1"/>
  <c r="D267" i="1"/>
  <c r="D139" i="1"/>
  <c r="L8" i="1"/>
  <c r="H68" i="2"/>
  <c r="Q222" i="1"/>
  <c r="I218" i="1"/>
  <c r="O373" i="1"/>
  <c r="E234" i="1"/>
  <c r="I296" i="1"/>
  <c r="AB3" i="1"/>
  <c r="AB76" i="1"/>
  <c r="Q9" i="2"/>
  <c r="R108" i="1"/>
  <c r="G313" i="1"/>
  <c r="Z140" i="1"/>
  <c r="D13" i="2"/>
  <c r="E143" i="1"/>
  <c r="Q159" i="1"/>
  <c r="L115" i="1"/>
  <c r="M71" i="1"/>
  <c r="S288" i="1"/>
  <c r="AB216" i="1"/>
  <c r="T393" i="1"/>
  <c r="T67" i="1"/>
  <c r="T26" i="2"/>
  <c r="S247" i="1"/>
  <c r="F341" i="1"/>
  <c r="G69" i="2"/>
  <c r="R501" i="1"/>
  <c r="R386" i="1"/>
  <c r="AB351" i="1"/>
  <c r="AB458" i="1"/>
  <c r="S371" i="1"/>
  <c r="W414" i="1"/>
  <c r="U106" i="2"/>
  <c r="S324" i="1"/>
  <c r="M106" i="2"/>
  <c r="R194" i="1"/>
  <c r="J67" i="2"/>
  <c r="X16" i="2"/>
  <c r="AA38" i="1"/>
  <c r="F412" i="1"/>
  <c r="E154" i="1"/>
  <c r="R164" i="1"/>
  <c r="AA78" i="1"/>
  <c r="L94" i="1"/>
  <c r="I329" i="1"/>
  <c r="N502" i="1"/>
  <c r="P373" i="1"/>
  <c r="T182" i="1"/>
  <c r="M39" i="1"/>
  <c r="E404" i="1"/>
  <c r="R177" i="1"/>
  <c r="AA356" i="1"/>
  <c r="M159" i="1"/>
  <c r="L35" i="1"/>
  <c r="I226" i="1"/>
  <c r="S366" i="1"/>
  <c r="T482" i="1"/>
  <c r="AA475" i="1"/>
  <c r="Z36" i="1"/>
  <c r="G311" i="1"/>
  <c r="T80" i="1"/>
  <c r="N208" i="1"/>
  <c r="D125" i="1"/>
  <c r="L143" i="1"/>
  <c r="M7" i="1"/>
  <c r="R84" i="1"/>
  <c r="R16" i="1"/>
  <c r="AA456" i="1"/>
  <c r="D402" i="1"/>
  <c r="M180" i="1"/>
  <c r="I379" i="1"/>
  <c r="I154" i="1"/>
  <c r="N198" i="1"/>
  <c r="Q238" i="1"/>
  <c r="T132" i="1"/>
  <c r="G54" i="2"/>
  <c r="AA213" i="1"/>
  <c r="Z138" i="1"/>
  <c r="L262" i="1"/>
  <c r="P116" i="1"/>
  <c r="AA234" i="1"/>
  <c r="N486" i="1"/>
  <c r="F490" i="1"/>
  <c r="AA63" i="1"/>
  <c r="N322" i="1"/>
  <c r="U103" i="2"/>
  <c r="S6" i="1"/>
  <c r="T338" i="1"/>
  <c r="S496" i="1"/>
  <c r="M101" i="2"/>
  <c r="P453" i="1"/>
  <c r="N307" i="1"/>
  <c r="AA470" i="1"/>
  <c r="N95" i="1"/>
  <c r="M162" i="1"/>
  <c r="AA170" i="1"/>
  <c r="H40" i="2"/>
  <c r="G256" i="1"/>
  <c r="AA425" i="1"/>
  <c r="N20" i="1"/>
  <c r="P134" i="1"/>
  <c r="L113" i="1"/>
  <c r="I411" i="1"/>
  <c r="E224" i="1"/>
  <c r="P333" i="1"/>
  <c r="F448" i="1"/>
  <c r="W499" i="1"/>
  <c r="D15" i="1"/>
  <c r="N349" i="1"/>
  <c r="D324" i="1"/>
  <c r="S436" i="1"/>
  <c r="P426" i="1"/>
  <c r="H39" i="2"/>
  <c r="N52" i="2"/>
  <c r="I68" i="1"/>
  <c r="E58" i="2"/>
  <c r="R421" i="1"/>
  <c r="M190" i="1"/>
  <c r="U46" i="2"/>
  <c r="F110" i="2"/>
  <c r="D257" i="1"/>
  <c r="R26" i="2"/>
  <c r="Z248" i="1"/>
  <c r="S357" i="1"/>
  <c r="S55" i="2"/>
  <c r="AD36" i="2"/>
  <c r="P251" i="1"/>
  <c r="G14" i="2"/>
  <c r="S374" i="1"/>
  <c r="S81" i="2"/>
  <c r="N189" i="1"/>
  <c r="N36" i="1"/>
  <c r="S263" i="1"/>
  <c r="D110" i="1"/>
  <c r="M203" i="1"/>
  <c r="AH7" i="2"/>
  <c r="M102" i="2"/>
  <c r="S38" i="2"/>
  <c r="W109" i="2"/>
  <c r="G37" i="2"/>
  <c r="R207" i="1"/>
  <c r="Q155" i="1"/>
  <c r="G55" i="2"/>
  <c r="S298" i="1"/>
  <c r="I473" i="1"/>
  <c r="X27" i="2"/>
  <c r="AA24" i="1"/>
  <c r="Z92" i="1"/>
  <c r="R146" i="1"/>
  <c r="N273" i="1"/>
  <c r="Q9" i="1"/>
  <c r="M134" i="1"/>
  <c r="I418" i="1"/>
  <c r="E413" i="1"/>
  <c r="O504" i="1"/>
  <c r="E406" i="1"/>
  <c r="O511" i="1"/>
  <c r="F486" i="1"/>
  <c r="AE34" i="2"/>
  <c r="E279" i="1"/>
  <c r="W18" i="2"/>
  <c r="X10" i="2"/>
  <c r="R134" i="1"/>
  <c r="G337" i="1"/>
  <c r="Q333" i="1"/>
  <c r="S125" i="1"/>
  <c r="P383" i="1"/>
  <c r="I400" i="1"/>
  <c r="Q268" i="1"/>
  <c r="I148" i="1"/>
  <c r="S526" i="1"/>
  <c r="S399" i="1"/>
  <c r="AB43" i="1"/>
  <c r="D227" i="1"/>
  <c r="T91" i="2"/>
  <c r="E531" i="1"/>
  <c r="F257" i="1"/>
  <c r="Z448" i="1"/>
  <c r="P439" i="1"/>
  <c r="M500" i="1"/>
  <c r="S525" i="1"/>
  <c r="D27" i="1"/>
  <c r="Z325" i="1"/>
  <c r="I502" i="1"/>
  <c r="W89" i="2"/>
  <c r="W103" i="2"/>
  <c r="F57" i="1"/>
  <c r="N252" i="1"/>
  <c r="R189" i="1"/>
  <c r="E311" i="1"/>
  <c r="M48" i="1"/>
  <c r="L376" i="1"/>
  <c r="M275" i="1"/>
  <c r="I13" i="1"/>
  <c r="R11" i="2"/>
  <c r="L485" i="1"/>
  <c r="M398" i="1"/>
  <c r="D400" i="1"/>
  <c r="L33" i="1"/>
  <c r="M327" i="1"/>
  <c r="O315" i="1"/>
  <c r="F349" i="1"/>
  <c r="E520" i="1"/>
  <c r="L133" i="1"/>
  <c r="U51" i="2"/>
  <c r="P318" i="1"/>
  <c r="S364" i="1"/>
  <c r="G425" i="1"/>
  <c r="P463" i="1"/>
  <c r="AA171" i="1"/>
  <c r="T12" i="1"/>
  <c r="D503" i="1"/>
  <c r="AB311" i="1"/>
  <c r="E363" i="1"/>
  <c r="N356" i="1"/>
  <c r="T7" i="2"/>
  <c r="L420" i="1"/>
  <c r="AA20" i="1"/>
  <c r="T238" i="1"/>
  <c r="T137" i="1"/>
  <c r="T485" i="1"/>
  <c r="N353" i="1"/>
  <c r="Q306" i="1"/>
  <c r="D297" i="1"/>
  <c r="N3" i="2"/>
  <c r="L464" i="1"/>
  <c r="AB138" i="1"/>
  <c r="D104" i="2"/>
  <c r="J65" i="2"/>
  <c r="M502" i="1"/>
  <c r="D156" i="1"/>
  <c r="O363" i="1"/>
  <c r="I306" i="1"/>
  <c r="A27" i="2"/>
  <c r="S79" i="2"/>
  <c r="E64" i="1"/>
  <c r="N59" i="1"/>
  <c r="S94" i="2"/>
  <c r="R377" i="1"/>
  <c r="L159" i="1"/>
  <c r="R116" i="1"/>
  <c r="F293" i="1"/>
  <c r="T57" i="2"/>
  <c r="D388" i="1"/>
  <c r="E396" i="1"/>
  <c r="G364" i="1"/>
  <c r="E112" i="1"/>
  <c r="L66" i="1"/>
  <c r="N475" i="1"/>
  <c r="N133" i="1"/>
  <c r="AA512" i="1"/>
  <c r="G90" i="2"/>
  <c r="U87" i="2"/>
  <c r="AA13" i="1"/>
  <c r="L171" i="1"/>
  <c r="Z213" i="1"/>
  <c r="Q525" i="1"/>
  <c r="P416" i="1"/>
  <c r="T11" i="1"/>
  <c r="T162" i="1"/>
  <c r="Q458" i="1"/>
  <c r="AD16" i="2"/>
  <c r="D234" i="1"/>
  <c r="T37" i="1"/>
  <c r="AA221" i="1"/>
  <c r="M257" i="1"/>
  <c r="L340" i="1"/>
  <c r="E206" i="1"/>
  <c r="Z64" i="1"/>
  <c r="O163" i="1"/>
  <c r="I263" i="1"/>
  <c r="F62" i="1"/>
  <c r="S93" i="1"/>
  <c r="P341" i="1"/>
  <c r="T463" i="1"/>
  <c r="AB300" i="1"/>
  <c r="W9" i="2"/>
  <c r="M79" i="2"/>
  <c r="Q14" i="1"/>
  <c r="N288" i="1"/>
  <c r="I430" i="1"/>
  <c r="N430" i="1"/>
  <c r="O86" i="2"/>
  <c r="O59" i="2"/>
  <c r="N33" i="2"/>
  <c r="Z242" i="1"/>
  <c r="AH95" i="2"/>
  <c r="AD58" i="2"/>
  <c r="N459" i="1"/>
  <c r="L534" i="1"/>
  <c r="N442" i="1"/>
  <c r="N67" i="2"/>
  <c r="F23" i="1"/>
  <c r="Q304" i="1"/>
  <c r="G182" i="1"/>
  <c r="AA427" i="1"/>
  <c r="AA113" i="1"/>
  <c r="N200" i="1"/>
  <c r="S151" i="1"/>
  <c r="U1" i="1"/>
  <c r="Q367" i="1"/>
  <c r="P382" i="1"/>
  <c r="AA346" i="1"/>
  <c r="AB28" i="2"/>
  <c r="P274" i="1"/>
  <c r="E26" i="2"/>
  <c r="S97" i="1"/>
  <c r="O388" i="1"/>
  <c r="L449" i="1"/>
  <c r="M455" i="1"/>
  <c r="T4" i="1"/>
  <c r="G101" i="1"/>
  <c r="P331" i="1"/>
  <c r="R93" i="1"/>
  <c r="P268" i="1"/>
  <c r="R186" i="1"/>
  <c r="U76" i="2"/>
  <c r="L254" i="1"/>
  <c r="O171" i="1"/>
  <c r="T251" i="1"/>
  <c r="Q379" i="1"/>
  <c r="Z221" i="1"/>
  <c r="T514" i="1"/>
  <c r="G452" i="1"/>
  <c r="M492" i="1"/>
  <c r="Q171" i="1"/>
  <c r="AD84" i="2"/>
  <c r="L290" i="1"/>
  <c r="AB227" i="1"/>
  <c r="Q44" i="1"/>
  <c r="AB93" i="1"/>
  <c r="G22" i="1"/>
  <c r="AA273" i="1"/>
  <c r="P39" i="2"/>
  <c r="L7" i="1"/>
  <c r="X450" i="1"/>
  <c r="G26" i="1"/>
  <c r="R157" i="1"/>
  <c r="N9" i="1"/>
  <c r="D398" i="1"/>
  <c r="E174" i="1"/>
  <c r="E295" i="1"/>
  <c r="P400" i="1"/>
  <c r="S185" i="1"/>
  <c r="Q420" i="1"/>
  <c r="Q94" i="1"/>
  <c r="W12" i="2"/>
  <c r="E19" i="2"/>
  <c r="G66" i="2"/>
  <c r="I322" i="1"/>
  <c r="AB362" i="1"/>
  <c r="P486" i="1"/>
  <c r="F508" i="1"/>
  <c r="R364" i="1"/>
  <c r="M464" i="1"/>
  <c r="V31" i="2"/>
  <c r="AA3" i="1"/>
  <c r="L514" i="1"/>
  <c r="Q263" i="1"/>
  <c r="Q120" i="1"/>
  <c r="L469" i="1"/>
  <c r="S223" i="1"/>
  <c r="AB374" i="1"/>
  <c r="AB395" i="1"/>
  <c r="E400" i="1"/>
  <c r="D153" i="1"/>
  <c r="I50" i="1"/>
  <c r="W85" i="2"/>
  <c r="O94" i="2"/>
  <c r="AA365" i="1"/>
  <c r="T273" i="1"/>
  <c r="Q26" i="2"/>
  <c r="T26" i="1"/>
  <c r="S485" i="1"/>
  <c r="M49" i="2"/>
  <c r="Q224" i="1"/>
  <c r="T330" i="1"/>
  <c r="N505" i="1"/>
  <c r="J53" i="2"/>
  <c r="N125" i="1"/>
  <c r="R442" i="1"/>
  <c r="T376" i="1"/>
  <c r="Q145" i="1"/>
  <c r="X74" i="2"/>
  <c r="Z182" i="1"/>
  <c r="X100" i="2"/>
  <c r="E223" i="1"/>
  <c r="G470" i="1"/>
  <c r="G458" i="1"/>
  <c r="P117" i="1"/>
  <c r="E108" i="1"/>
  <c r="S105" i="2"/>
  <c r="AG21" i="2"/>
  <c r="AA493" i="1"/>
  <c r="U65" i="2"/>
  <c r="N6" i="2"/>
  <c r="S205" i="1"/>
  <c r="S158" i="1"/>
  <c r="E429" i="1"/>
  <c r="O20" i="1"/>
  <c r="F359" i="1"/>
  <c r="L161" i="1"/>
  <c r="E31" i="2"/>
  <c r="E178" i="1"/>
  <c r="N465" i="1"/>
  <c r="Z395" i="1"/>
  <c r="L341" i="1"/>
  <c r="AG50" i="2"/>
  <c r="A86" i="2"/>
  <c r="I215" i="1"/>
  <c r="I326" i="1"/>
  <c r="R273" i="1"/>
  <c r="R515" i="1"/>
  <c r="Q327" i="1"/>
  <c r="E262" i="1"/>
  <c r="N164" i="1"/>
  <c r="T375" i="1"/>
  <c r="AG43" i="2"/>
  <c r="I152" i="1"/>
  <c r="T115" i="1"/>
  <c r="Q456" i="1"/>
  <c r="W5" i="2"/>
  <c r="R356" i="1"/>
  <c r="I180" i="1"/>
  <c r="G189" i="1"/>
  <c r="S312" i="1"/>
  <c r="M303" i="1"/>
  <c r="T76" i="1"/>
  <c r="R222" i="1"/>
  <c r="G77" i="1"/>
  <c r="L150" i="1"/>
  <c r="G270" i="1"/>
  <c r="AH34" i="2"/>
  <c r="M393" i="1"/>
  <c r="S503" i="1"/>
  <c r="W93" i="2"/>
  <c r="S520" i="1"/>
  <c r="U152" i="1"/>
  <c r="R359" i="1"/>
  <c r="W48" i="2"/>
  <c r="L532" i="1"/>
  <c r="R513" i="1"/>
  <c r="N381" i="1"/>
  <c r="E114" i="1"/>
  <c r="M473" i="1"/>
  <c r="Z212" i="1"/>
  <c r="Q153" i="1"/>
  <c r="E280" i="1"/>
  <c r="D364" i="1"/>
  <c r="A36" i="2"/>
  <c r="L523" i="1"/>
  <c r="G73" i="2"/>
  <c r="D149" i="1"/>
  <c r="D223" i="1"/>
  <c r="N31" i="2"/>
  <c r="Z502" i="1"/>
  <c r="D214" i="1"/>
  <c r="P230" i="1"/>
  <c r="N110" i="1"/>
  <c r="R114" i="1"/>
  <c r="AA11" i="1"/>
  <c r="R315" i="1"/>
  <c r="E258" i="1"/>
  <c r="M171" i="1"/>
  <c r="F60" i="2"/>
  <c r="L224" i="1"/>
  <c r="T288" i="1"/>
  <c r="I309" i="1"/>
  <c r="J110" i="2"/>
  <c r="AB293" i="1"/>
  <c r="I262" i="1"/>
  <c r="AB47" i="1"/>
  <c r="M412" i="1"/>
  <c r="S359" i="1"/>
  <c r="M485" i="1"/>
  <c r="U69" i="2"/>
  <c r="T32" i="1"/>
  <c r="Q470" i="1"/>
  <c r="E252" i="1"/>
  <c r="U73" i="2"/>
  <c r="S221" i="1"/>
  <c r="F102" i="2"/>
  <c r="AA302" i="1"/>
  <c r="X382" i="1"/>
  <c r="R469" i="1"/>
  <c r="S406" i="1"/>
  <c r="R254" i="1"/>
  <c r="W14" i="2"/>
  <c r="T414" i="1"/>
  <c r="J26" i="2"/>
  <c r="M527" i="1"/>
  <c r="AB483" i="1"/>
  <c r="T143" i="1"/>
  <c r="T440" i="1"/>
  <c r="I40" i="1"/>
  <c r="E186" i="1"/>
  <c r="Z361" i="1"/>
  <c r="S18" i="2"/>
  <c r="E359" i="1"/>
  <c r="Z96" i="1"/>
  <c r="R191" i="1"/>
  <c r="S484" i="1"/>
  <c r="S465" i="1"/>
  <c r="AH54" i="2"/>
  <c r="F151" i="1"/>
  <c r="W62" i="2"/>
  <c r="V14" i="2"/>
  <c r="L160" i="1"/>
  <c r="S117" i="1"/>
  <c r="M358" i="1"/>
  <c r="D261" i="1"/>
  <c r="D42" i="2"/>
  <c r="S13" i="2"/>
  <c r="AA159" i="1"/>
  <c r="I61" i="1"/>
  <c r="G89" i="2"/>
  <c r="AA500" i="1"/>
  <c r="O479" i="1"/>
  <c r="G20" i="1"/>
  <c r="F23" i="2"/>
  <c r="O67" i="2"/>
  <c r="Q32" i="1"/>
  <c r="AB111" i="1"/>
  <c r="R297" i="1"/>
  <c r="F91" i="1"/>
  <c r="T109" i="1"/>
  <c r="Z15" i="1"/>
  <c r="I356" i="1"/>
  <c r="P429" i="1"/>
  <c r="AD8" i="2"/>
  <c r="R497" i="1"/>
  <c r="O48" i="2"/>
  <c r="E522" i="1"/>
  <c r="Q10" i="1"/>
  <c r="Q288" i="1"/>
  <c r="R354" i="1"/>
  <c r="I357" i="1"/>
  <c r="S321" i="1"/>
  <c r="F241" i="1"/>
  <c r="S74" i="2"/>
  <c r="L123" i="1"/>
  <c r="D387" i="1"/>
  <c r="AB153" i="1"/>
  <c r="AA1" i="2"/>
  <c r="T509" i="1"/>
  <c r="L430" i="1"/>
  <c r="P352" i="1"/>
  <c r="L18" i="1"/>
  <c r="F93" i="1"/>
  <c r="AA248" i="1"/>
  <c r="D83" i="2"/>
  <c r="R91" i="2"/>
  <c r="F101" i="1"/>
  <c r="D230" i="1"/>
  <c r="F504" i="1"/>
  <c r="E229" i="1"/>
  <c r="Q452" i="1"/>
  <c r="F306" i="1"/>
  <c r="G340" i="1"/>
  <c r="I191" i="1"/>
  <c r="I142" i="1"/>
  <c r="S129" i="1"/>
  <c r="P9" i="2"/>
  <c r="U1" i="2"/>
  <c r="F442" i="1"/>
  <c r="I196" i="1"/>
  <c r="A11" i="2"/>
  <c r="J37" i="2"/>
  <c r="F405" i="1"/>
  <c r="F270" i="1"/>
  <c r="T239" i="1"/>
  <c r="F27" i="1"/>
  <c r="F203" i="1"/>
  <c r="Z12" i="1"/>
  <c r="I60" i="1"/>
  <c r="N193" i="1"/>
  <c r="G395" i="1"/>
  <c r="G176" i="1"/>
  <c r="F232" i="1"/>
  <c r="E49" i="2"/>
  <c r="C304" i="1"/>
  <c r="E151" i="1"/>
  <c r="Q432" i="1"/>
  <c r="L397" i="1"/>
  <c r="T169" i="1"/>
  <c r="D423" i="1"/>
  <c r="T44" i="1"/>
  <c r="S34" i="2"/>
  <c r="N213" i="1"/>
  <c r="S470" i="1"/>
  <c r="AB465" i="1"/>
  <c r="Q49" i="1"/>
  <c r="T16" i="1"/>
  <c r="Z107" i="1"/>
  <c r="E367" i="1"/>
  <c r="M307" i="1"/>
  <c r="AB267" i="1"/>
  <c r="T125" i="1"/>
  <c r="P320" i="1"/>
  <c r="L381" i="1"/>
  <c r="L467" i="1"/>
  <c r="H13" i="2"/>
  <c r="G329" i="1"/>
  <c r="P13" i="1"/>
  <c r="P34" i="2"/>
  <c r="AB43" i="2"/>
  <c r="R255" i="1"/>
  <c r="Z322" i="1"/>
  <c r="L388" i="1"/>
  <c r="L45" i="1"/>
  <c r="S532" i="1"/>
  <c r="R299" i="1"/>
  <c r="T479" i="1"/>
  <c r="Z376" i="1"/>
  <c r="R218" i="1"/>
  <c r="R131" i="1"/>
  <c r="S63" i="1"/>
  <c r="S524" i="1"/>
  <c r="AA95" i="1"/>
  <c r="M83" i="1"/>
  <c r="S32" i="1"/>
  <c r="D175" i="1"/>
  <c r="P399" i="1"/>
  <c r="E40" i="1"/>
  <c r="L379" i="1"/>
  <c r="L6" i="1"/>
  <c r="AB85" i="1"/>
  <c r="M43" i="1"/>
  <c r="P497" i="1"/>
  <c r="N93" i="1"/>
  <c r="P142" i="1"/>
  <c r="G297" i="1"/>
  <c r="M107" i="2"/>
  <c r="AA117" i="1"/>
  <c r="Z450" i="1"/>
  <c r="D374" i="1"/>
  <c r="P16" i="1"/>
  <c r="W76" i="2"/>
  <c r="T247" i="1"/>
  <c r="L243" i="1"/>
  <c r="I304" i="1"/>
  <c r="G175" i="1"/>
  <c r="AB129" i="1"/>
  <c r="AB23" i="1"/>
  <c r="F221" i="1"/>
  <c r="D343" i="1"/>
  <c r="F72" i="2"/>
  <c r="D82" i="1"/>
  <c r="F120" i="1"/>
  <c r="Q33" i="1"/>
  <c r="E502" i="1"/>
  <c r="N144" i="1"/>
  <c r="AB128" i="1"/>
  <c r="D394" i="1"/>
  <c r="R36" i="1"/>
  <c r="X30" i="2"/>
  <c r="AB228" i="1"/>
  <c r="AD30" i="2"/>
  <c r="O61" i="1"/>
  <c r="AA485" i="1"/>
  <c r="AA212" i="1"/>
  <c r="N187" i="1"/>
  <c r="AA247" i="1"/>
  <c r="N518" i="1"/>
  <c r="Q412" i="1"/>
  <c r="AB141" i="1"/>
  <c r="F172" i="1"/>
  <c r="G520" i="1"/>
  <c r="T56" i="2"/>
  <c r="AA428" i="1"/>
  <c r="P101" i="2"/>
  <c r="AA181" i="1"/>
  <c r="Q208" i="1"/>
  <c r="S137" i="1"/>
  <c r="F15" i="2"/>
  <c r="D347" i="1"/>
  <c r="R119" i="1"/>
  <c r="R77" i="1"/>
  <c r="F182" i="1"/>
  <c r="AB199" i="1"/>
  <c r="G80" i="1"/>
  <c r="G345" i="1"/>
  <c r="AA483" i="1"/>
  <c r="O8" i="2"/>
  <c r="AB497" i="1"/>
  <c r="G108" i="2"/>
  <c r="P467" i="1"/>
  <c r="L403" i="1"/>
  <c r="P17" i="2"/>
  <c r="F46" i="1"/>
  <c r="AA45" i="1"/>
  <c r="M72" i="1"/>
  <c r="V37" i="2"/>
  <c r="AA202" i="1"/>
  <c r="N122" i="1"/>
  <c r="M20" i="2"/>
  <c r="Z141" i="1"/>
  <c r="D393" i="1"/>
  <c r="N332" i="1"/>
  <c r="P27" i="1"/>
  <c r="AB58" i="1"/>
  <c r="AA204" i="1"/>
  <c r="Q532" i="1"/>
  <c r="I343" i="1"/>
  <c r="R41" i="2"/>
  <c r="D102" i="1"/>
  <c r="R95" i="2"/>
  <c r="E371" i="1"/>
  <c r="R333" i="1"/>
  <c r="E462" i="1"/>
  <c r="N268" i="1"/>
  <c r="L328" i="1"/>
  <c r="I149" i="1"/>
  <c r="S1" i="1"/>
  <c r="P360" i="1"/>
  <c r="J75" i="2"/>
  <c r="R288" i="1"/>
  <c r="T118" i="1"/>
  <c r="O478" i="1"/>
  <c r="Q179" i="1"/>
  <c r="S35" i="1"/>
  <c r="L513" i="1"/>
  <c r="R347" i="1"/>
  <c r="U17" i="2"/>
  <c r="F110" i="1"/>
  <c r="AB367" i="1"/>
  <c r="L466" i="1"/>
  <c r="P325" i="1"/>
  <c r="L195" i="1"/>
  <c r="L495" i="1"/>
  <c r="M132" i="1"/>
  <c r="I281" i="1"/>
  <c r="Z225" i="1"/>
  <c r="L12" i="1"/>
  <c r="M371" i="1"/>
  <c r="T381" i="1"/>
  <c r="D130" i="1"/>
  <c r="F408" i="1"/>
  <c r="E107" i="2"/>
  <c r="L527" i="1"/>
  <c r="Q80" i="1"/>
  <c r="S339" i="1"/>
  <c r="X101" i="2"/>
  <c r="AH76" i="2"/>
  <c r="F63" i="1"/>
  <c r="S415" i="1"/>
  <c r="L504" i="1"/>
  <c r="AA449" i="1"/>
  <c r="T103" i="1"/>
  <c r="AB312" i="1"/>
  <c r="T484" i="1"/>
  <c r="G170" i="1"/>
  <c r="M40" i="2"/>
  <c r="AA252" i="1"/>
  <c r="Q372" i="1"/>
  <c r="R430" i="1"/>
  <c r="D100" i="1"/>
  <c r="N106" i="2"/>
  <c r="G74" i="2"/>
  <c r="S188" i="1"/>
  <c r="F50" i="1"/>
  <c r="T20" i="1"/>
  <c r="M191" i="1"/>
  <c r="I202" i="1"/>
  <c r="L333" i="1"/>
  <c r="E82" i="1"/>
  <c r="E53" i="2"/>
  <c r="P177" i="1"/>
  <c r="P11" i="2"/>
  <c r="O454" i="1"/>
  <c r="O29" i="2"/>
  <c r="V64" i="2"/>
  <c r="S116" i="1"/>
  <c r="M43" i="2"/>
  <c r="J105" i="2"/>
  <c r="Q481" i="1"/>
  <c r="P469" i="1"/>
  <c r="E21" i="2"/>
  <c r="U63" i="2"/>
  <c r="N367" i="1"/>
  <c r="E300" i="1"/>
  <c r="P506" i="1"/>
  <c r="X90" i="2"/>
  <c r="W75" i="2"/>
  <c r="O319" i="1"/>
  <c r="W53" i="2"/>
  <c r="AA109" i="1"/>
  <c r="P408" i="1"/>
  <c r="N70" i="2"/>
  <c r="G378" i="1"/>
  <c r="T55" i="2"/>
  <c r="M52" i="2"/>
  <c r="S382" i="1"/>
  <c r="T527" i="1"/>
  <c r="P112" i="1"/>
  <c r="AA299" i="1"/>
  <c r="R388" i="1"/>
  <c r="AA452" i="1"/>
  <c r="S58" i="2"/>
  <c r="P8" i="1"/>
  <c r="I206" i="1"/>
  <c r="M353" i="1"/>
  <c r="W27" i="2"/>
  <c r="M309" i="1"/>
  <c r="L59" i="1"/>
  <c r="O441" i="1"/>
  <c r="H43" i="2"/>
  <c r="D157" i="1"/>
  <c r="M310" i="1"/>
  <c r="I32" i="1"/>
  <c r="AB8" i="1"/>
  <c r="G523" i="1"/>
  <c r="P32" i="2"/>
  <c r="S239" i="1"/>
  <c r="C163" i="1"/>
  <c r="AD19" i="2"/>
  <c r="AH56" i="2"/>
  <c r="W95" i="2"/>
  <c r="D422" i="1"/>
  <c r="I348" i="1"/>
  <c r="N47" i="2"/>
  <c r="I63" i="1"/>
  <c r="N352" i="1"/>
  <c r="I177" i="1"/>
  <c r="P38" i="2"/>
  <c r="AD41" i="2"/>
  <c r="D99" i="2"/>
  <c r="D144" i="1"/>
  <c r="T41" i="2"/>
  <c r="AF28" i="2"/>
  <c r="P477" i="1"/>
  <c r="R203" i="1"/>
  <c r="AA5" i="1"/>
  <c r="Z21" i="1"/>
  <c r="E326" i="1"/>
  <c r="H89" i="2"/>
  <c r="W157" i="1"/>
  <c r="N100" i="1"/>
  <c r="D441" i="1"/>
  <c r="L63" i="1"/>
  <c r="R473" i="1"/>
  <c r="D92" i="2"/>
  <c r="D102" i="2"/>
  <c r="I29" i="1"/>
  <c r="M531" i="1"/>
  <c r="H79" i="2"/>
  <c r="P70" i="2"/>
  <c r="AB210" i="1"/>
  <c r="D231" i="1"/>
  <c r="E369" i="1"/>
  <c r="M491" i="1"/>
  <c r="E68" i="1"/>
  <c r="D98" i="2"/>
  <c r="Q386" i="1"/>
  <c r="AD72" i="2"/>
  <c r="R326" i="1"/>
  <c r="Q40" i="1"/>
  <c r="T309" i="1"/>
  <c r="AB75" i="1"/>
  <c r="P115" i="1"/>
  <c r="T110" i="1"/>
  <c r="G111" i="1"/>
  <c r="R46" i="1"/>
  <c r="S348" i="1"/>
  <c r="D467" i="1"/>
  <c r="X22" i="2"/>
  <c r="D48" i="1"/>
  <c r="AB109" i="1"/>
  <c r="AF43" i="2"/>
  <c r="E14" i="2"/>
  <c r="E273" i="1"/>
  <c r="N229" i="1"/>
  <c r="I137" i="1"/>
  <c r="R79" i="1"/>
  <c r="F204" i="1"/>
  <c r="S82" i="1"/>
  <c r="N274" i="1"/>
  <c r="N86" i="2"/>
  <c r="T207" i="1"/>
  <c r="F323" i="1"/>
  <c r="R258" i="1"/>
  <c r="G299" i="1"/>
  <c r="Q495" i="1"/>
  <c r="Q493" i="1"/>
  <c r="U154" i="1"/>
  <c r="D44" i="1"/>
  <c r="P78" i="1"/>
  <c r="AB504" i="1"/>
  <c r="G32" i="2"/>
  <c r="S533" i="1"/>
  <c r="S459" i="1"/>
  <c r="D386" i="1"/>
  <c r="G498" i="1"/>
  <c r="M11" i="1"/>
  <c r="R462" i="1"/>
  <c r="G243" i="1"/>
  <c r="O98" i="1"/>
  <c r="D258" i="1"/>
  <c r="S300" i="1"/>
  <c r="L138" i="1"/>
  <c r="Q346" i="1"/>
  <c r="AB342" i="1"/>
  <c r="AA263" i="1"/>
  <c r="P313" i="1"/>
  <c r="L455" i="1"/>
  <c r="D296" i="1"/>
  <c r="G402" i="1"/>
  <c r="F196" i="1"/>
  <c r="R418" i="1"/>
  <c r="N416" i="1"/>
  <c r="S120" i="1"/>
  <c r="E402" i="1"/>
  <c r="R261" i="1"/>
  <c r="L233" i="1"/>
  <c r="AA85" i="1"/>
  <c r="L20" i="1"/>
  <c r="D45" i="2"/>
  <c r="G290" i="1"/>
  <c r="I11" i="1"/>
  <c r="S33" i="1"/>
  <c r="E102" i="2"/>
  <c r="D502" i="1"/>
  <c r="G116" i="1"/>
  <c r="G282" i="1"/>
  <c r="Z383" i="1"/>
  <c r="P332" i="1"/>
  <c r="G421" i="1"/>
  <c r="O80" i="2"/>
  <c r="J47" i="2"/>
  <c r="O58" i="2"/>
  <c r="A48" i="2"/>
  <c r="T403" i="1"/>
  <c r="P108" i="1"/>
  <c r="F355" i="1"/>
  <c r="S420" i="1"/>
  <c r="D345" i="1"/>
  <c r="AB231" i="1"/>
  <c r="L325" i="1"/>
  <c r="I33" i="1"/>
  <c r="T254" i="1"/>
  <c r="P103" i="2"/>
  <c r="W57" i="2"/>
  <c r="M197" i="1"/>
  <c r="R174" i="1"/>
  <c r="AA468" i="1"/>
  <c r="G225" i="1"/>
  <c r="P186" i="1"/>
  <c r="P237" i="1"/>
  <c r="Q57" i="1"/>
  <c r="Q168" i="1"/>
  <c r="D207" i="1"/>
  <c r="M221" i="1"/>
  <c r="Z155" i="1"/>
  <c r="G436" i="1"/>
  <c r="D27" i="2"/>
  <c r="AB354" i="1"/>
  <c r="AB103" i="1"/>
  <c r="S491" i="1"/>
  <c r="P402" i="1"/>
  <c r="R259" i="1"/>
  <c r="R465" i="1"/>
  <c r="AB324" i="1"/>
  <c r="R197" i="1"/>
  <c r="E209" i="1"/>
  <c r="Q217" i="1"/>
  <c r="AA27" i="1"/>
  <c r="P378" i="1"/>
  <c r="S75" i="1"/>
  <c r="Q23" i="2"/>
  <c r="N258" i="1"/>
  <c r="W4" i="2"/>
  <c r="N84" i="1"/>
  <c r="R23" i="1"/>
  <c r="U27" i="2"/>
  <c r="Z398" i="1"/>
  <c r="S513" i="1"/>
  <c r="F242" i="1"/>
  <c r="AB260" i="1"/>
  <c r="V15" i="2"/>
  <c r="P394" i="1"/>
  <c r="T180" i="1"/>
  <c r="AB140" i="1"/>
  <c r="L349" i="1"/>
  <c r="F16" i="1"/>
  <c r="O62" i="2"/>
  <c r="AF51" i="2"/>
  <c r="AB316" i="1"/>
  <c r="P524" i="1"/>
  <c r="S413" i="1"/>
  <c r="M172" i="1"/>
  <c r="Q403" i="1"/>
  <c r="M381" i="1"/>
  <c r="S20" i="2"/>
  <c r="R13" i="2"/>
  <c r="O31" i="1"/>
  <c r="N506" i="1"/>
  <c r="N17" i="1"/>
  <c r="S16" i="1"/>
  <c r="AG71" i="2"/>
  <c r="T117" i="1"/>
  <c r="S225" i="1"/>
  <c r="J48" i="2"/>
  <c r="AD20" i="2"/>
  <c r="E343" i="1"/>
  <c r="D321" i="1"/>
  <c r="AH30" i="2"/>
  <c r="G328" i="1"/>
  <c r="R424" i="1"/>
  <c r="E354" i="1"/>
  <c r="Z129" i="1"/>
  <c r="AB498" i="1"/>
  <c r="S228" i="1"/>
  <c r="J51" i="2"/>
  <c r="R416" i="1"/>
  <c r="G109" i="1"/>
  <c r="F44" i="1"/>
  <c r="L129" i="1"/>
  <c r="P428" i="1"/>
  <c r="S48" i="2"/>
  <c r="S115" i="1"/>
  <c r="S163" i="1"/>
  <c r="D521" i="1"/>
  <c r="S344" i="1"/>
  <c r="G13" i="1"/>
  <c r="F115" i="1"/>
  <c r="N531" i="1"/>
  <c r="P137" i="1"/>
  <c r="D146" i="1"/>
  <c r="Z224" i="1"/>
  <c r="I386" i="1"/>
  <c r="F493" i="1"/>
  <c r="R13" i="1"/>
  <c r="Q138" i="1"/>
  <c r="AB505" i="1"/>
  <c r="R231" i="1"/>
  <c r="I35" i="1"/>
  <c r="U48" i="2"/>
  <c r="W65" i="2"/>
  <c r="Z347" i="1"/>
  <c r="S186" i="1"/>
  <c r="AA303" i="1"/>
  <c r="S337" i="1"/>
  <c r="D67" i="1"/>
  <c r="T48" i="1"/>
  <c r="P242" i="1"/>
  <c r="T205" i="1"/>
  <c r="Q24" i="1"/>
  <c r="D252" i="1"/>
  <c r="T323" i="1"/>
  <c r="G342" i="1"/>
  <c r="I503" i="1"/>
  <c r="R185" i="1"/>
  <c r="AD82" i="2"/>
  <c r="G280" i="1"/>
  <c r="AA269" i="1"/>
  <c r="G40" i="1"/>
  <c r="AB457" i="1"/>
  <c r="S10" i="1"/>
  <c r="J32" i="2"/>
  <c r="O354" i="1"/>
  <c r="G106" i="2"/>
  <c r="A39" i="2"/>
  <c r="O12" i="2"/>
  <c r="Q253" i="1"/>
  <c r="A53" i="2"/>
  <c r="D243" i="1"/>
  <c r="E122" i="1"/>
  <c r="T209" i="1"/>
  <c r="D51" i="2"/>
  <c r="G185" i="1"/>
  <c r="AB268" i="1"/>
  <c r="P262" i="1"/>
  <c r="N329" i="1"/>
  <c r="Q376" i="1"/>
  <c r="F518" i="1"/>
  <c r="Z219" i="1"/>
  <c r="AA244" i="1"/>
  <c r="E26" i="1"/>
  <c r="O442" i="1"/>
  <c r="M67" i="2"/>
  <c r="T66" i="1"/>
  <c r="A67" i="2"/>
  <c r="T187" i="1"/>
  <c r="Q314" i="1"/>
  <c r="S232" i="1"/>
  <c r="V75" i="2"/>
  <c r="AB204" i="1"/>
  <c r="P35" i="2"/>
  <c r="L31" i="1"/>
  <c r="D415" i="1"/>
  <c r="AA525" i="1"/>
  <c r="S25" i="1"/>
  <c r="P110" i="1"/>
  <c r="I257" i="1"/>
  <c r="I387" i="1"/>
  <c r="AB343" i="1"/>
  <c r="M356" i="1"/>
  <c r="R101" i="1"/>
  <c r="L390" i="1"/>
  <c r="L132" i="1"/>
  <c r="R82" i="2"/>
  <c r="T486" i="1"/>
  <c r="Q473" i="1"/>
  <c r="Q187" i="1"/>
  <c r="R342" i="1"/>
  <c r="T14" i="1"/>
  <c r="R240" i="1"/>
  <c r="R12" i="2"/>
  <c r="A95" i="2"/>
  <c r="R5" i="2"/>
  <c r="AA408" i="1"/>
  <c r="V23" i="2"/>
  <c r="M425" i="1"/>
  <c r="N507" i="1"/>
  <c r="F403" i="1"/>
  <c r="F511" i="1"/>
  <c r="AB338" i="1"/>
  <c r="G19" i="1"/>
  <c r="F418" i="1"/>
  <c r="T98" i="2"/>
  <c r="Q251" i="1"/>
  <c r="N45" i="1"/>
  <c r="S180" i="1"/>
  <c r="D126" i="1"/>
  <c r="F94" i="1"/>
  <c r="R331" i="1"/>
  <c r="D203" i="1"/>
  <c r="F102" i="1"/>
  <c r="R343" i="1"/>
  <c r="S122" i="1"/>
  <c r="Z38" i="1"/>
  <c r="Z22" i="1"/>
  <c r="AB382" i="1"/>
  <c r="I359" i="1"/>
  <c r="R168" i="1"/>
  <c r="F417" i="1"/>
  <c r="Z78" i="1"/>
  <c r="I247" i="1"/>
  <c r="AB57" i="1"/>
  <c r="P33" i="1"/>
  <c r="F21" i="1"/>
  <c r="P92" i="1"/>
  <c r="D457" i="1"/>
  <c r="O122" i="1"/>
  <c r="U56" i="2"/>
  <c r="I170" i="1"/>
  <c r="E93" i="1"/>
  <c r="T260" i="1"/>
  <c r="X77" i="2"/>
  <c r="AA506" i="1"/>
  <c r="S487" i="1"/>
  <c r="E3" i="2"/>
  <c r="D32" i="1"/>
  <c r="O34" i="1"/>
  <c r="R170" i="1"/>
  <c r="AB477" i="1"/>
  <c r="F89" i="2"/>
  <c r="I31" i="1"/>
  <c r="Z405" i="1"/>
  <c r="M27" i="1"/>
  <c r="G250" i="1"/>
  <c r="N117" i="1"/>
  <c r="AH41" i="2"/>
  <c r="S99" i="1"/>
  <c r="G204" i="1"/>
  <c r="N4" i="2"/>
  <c r="T399" i="1"/>
  <c r="R392" i="1"/>
  <c r="G382" i="1"/>
  <c r="P362" i="1"/>
  <c r="N13" i="1"/>
  <c r="F304" i="1"/>
  <c r="X38" i="2"/>
  <c r="V25" i="2"/>
  <c r="N426" i="1"/>
  <c r="F181" i="1"/>
  <c r="M3" i="1"/>
  <c r="R9" i="1"/>
  <c r="AA177" i="1"/>
  <c r="H53" i="2"/>
  <c r="E374" i="1"/>
  <c r="N38" i="1"/>
  <c r="AB250" i="1"/>
  <c r="P339" i="1"/>
  <c r="Q102" i="1"/>
  <c r="F330" i="1"/>
  <c r="P457" i="1"/>
  <c r="H38" i="2"/>
  <c r="M496" i="1"/>
  <c r="P23" i="1"/>
  <c r="N224" i="1"/>
  <c r="AA16" i="1"/>
  <c r="E350" i="1"/>
  <c r="R329" i="1"/>
  <c r="Z466" i="1"/>
  <c r="Z116" i="1"/>
  <c r="E37" i="1"/>
  <c r="E519" i="1"/>
  <c r="AA336" i="1"/>
  <c r="P64" i="2"/>
  <c r="J5" i="2"/>
  <c r="M269" i="1"/>
  <c r="Q160" i="1"/>
  <c r="Z510" i="1"/>
  <c r="G177" i="1"/>
  <c r="G533" i="1"/>
  <c r="N195" i="1"/>
  <c r="G284" i="1"/>
  <c r="L58" i="1"/>
  <c r="D43" i="1"/>
  <c r="M89" i="2"/>
  <c r="T353" i="1"/>
  <c r="G462" i="1"/>
  <c r="I312" i="1"/>
  <c r="Z49" i="1"/>
  <c r="O187" i="1"/>
  <c r="X383" i="1"/>
  <c r="D66" i="1"/>
  <c r="D520" i="1"/>
  <c r="I426" i="1"/>
  <c r="Z483" i="1"/>
  <c r="T448" i="1"/>
  <c r="S261" i="1"/>
  <c r="T490" i="1"/>
  <c r="I299" i="1"/>
  <c r="D191" i="1"/>
  <c r="Z8" i="1"/>
  <c r="G244" i="1"/>
  <c r="T427" i="1"/>
  <c r="T317" i="1"/>
  <c r="O372" i="1"/>
  <c r="T71" i="1"/>
  <c r="D333" i="1"/>
  <c r="G11" i="2"/>
  <c r="D132" i="1"/>
  <c r="R213" i="1"/>
  <c r="AD75" i="2"/>
  <c r="AE37" i="2"/>
  <c r="A111" i="2"/>
  <c r="S296" i="1"/>
  <c r="T99" i="2"/>
  <c r="AB35" i="1"/>
  <c r="M227" i="1"/>
  <c r="E90" i="2"/>
  <c r="M86" i="2"/>
  <c r="Q323" i="1"/>
  <c r="Q207" i="1"/>
  <c r="P73" i="2"/>
  <c r="O233" i="1"/>
  <c r="AB72" i="1"/>
  <c r="N522" i="1"/>
  <c r="W80" i="1"/>
  <c r="N351" i="1"/>
  <c r="S395" i="1"/>
  <c r="O227" i="1"/>
  <c r="D500" i="1"/>
  <c r="Q297" i="1"/>
  <c r="I340" i="1"/>
  <c r="O369" i="1"/>
  <c r="D497" i="1"/>
  <c r="N48" i="1"/>
  <c r="L84" i="1"/>
  <c r="AA492" i="1"/>
  <c r="O44" i="2"/>
  <c r="Z163" i="1"/>
  <c r="F58" i="1"/>
  <c r="F113" i="1"/>
  <c r="F324" i="1"/>
  <c r="M308" i="1"/>
  <c r="S303" i="1"/>
  <c r="S230" i="1"/>
  <c r="E439" i="1"/>
  <c r="D228" i="1"/>
  <c r="L389" i="1"/>
  <c r="R474" i="1"/>
  <c r="I365" i="1"/>
  <c r="T532" i="1"/>
  <c r="T275" i="1"/>
  <c r="A24" i="2"/>
  <c r="AA206" i="1"/>
  <c r="L428" i="1"/>
  <c r="O477" i="1"/>
  <c r="M87" i="2"/>
  <c r="P154" i="1"/>
  <c r="Q475" i="1"/>
  <c r="N455" i="1"/>
  <c r="E41" i="2"/>
  <c r="P208" i="1"/>
  <c r="N2" i="2"/>
  <c r="T475" i="1"/>
  <c r="G493" i="1"/>
  <c r="G17" i="1"/>
  <c r="G390" i="1"/>
  <c r="I342" i="1"/>
  <c r="R61" i="1"/>
  <c r="S527" i="1"/>
  <c r="G95" i="1"/>
  <c r="O310" i="1"/>
  <c r="D79" i="1"/>
  <c r="S80" i="1"/>
  <c r="R488" i="1"/>
  <c r="E147" i="1"/>
  <c r="F252" i="1"/>
  <c r="D432" i="1"/>
  <c r="P182" i="1"/>
  <c r="P218" i="1"/>
  <c r="P22" i="1"/>
  <c r="Q223" i="1"/>
  <c r="F430" i="1"/>
  <c r="X449" i="1"/>
  <c r="S488" i="1"/>
  <c r="G42" i="2"/>
  <c r="Q408" i="1"/>
  <c r="AA186" i="1"/>
  <c r="AB59" i="1"/>
  <c r="E289" i="1"/>
  <c r="D442" i="1"/>
  <c r="Q387" i="1"/>
  <c r="Q221" i="1"/>
  <c r="P20" i="1"/>
  <c r="M330" i="1"/>
  <c r="E302" i="1"/>
  <c r="AB35" i="2"/>
  <c r="R492" i="1"/>
  <c r="S208" i="1"/>
  <c r="I174" i="1"/>
  <c r="M348" i="1"/>
  <c r="M136" i="1"/>
  <c r="Z35" i="1"/>
  <c r="G214" i="1"/>
  <c r="R31" i="1"/>
  <c r="E86" i="2"/>
  <c r="P51" i="2"/>
  <c r="D163" i="1"/>
  <c r="S383" i="1"/>
  <c r="L368" i="1"/>
  <c r="L98" i="1"/>
  <c r="L97" i="1"/>
  <c r="F155" i="1"/>
  <c r="P395" i="1"/>
  <c r="Z144" i="1"/>
  <c r="P504" i="1"/>
  <c r="R100" i="1"/>
  <c r="Z243" i="1"/>
  <c r="I251" i="1"/>
  <c r="Q257" i="1"/>
  <c r="W424" i="1"/>
  <c r="R523" i="1"/>
  <c r="AF10" i="2"/>
  <c r="L465" i="1"/>
  <c r="E83" i="2"/>
  <c r="N417" i="1"/>
  <c r="N376" i="1"/>
  <c r="M78" i="1"/>
  <c r="A46" i="2"/>
  <c r="AA208" i="1"/>
  <c r="G139" i="1"/>
  <c r="G136" i="1"/>
  <c r="F395" i="1"/>
  <c r="M427" i="1"/>
  <c r="L229" i="1"/>
  <c r="AB318" i="1"/>
  <c r="S155" i="1"/>
  <c r="I172" i="1"/>
  <c r="F422" i="1"/>
  <c r="G94" i="2"/>
  <c r="Q479" i="1"/>
  <c r="F174" i="1"/>
  <c r="E5" i="2"/>
  <c r="S396" i="1"/>
  <c r="I141" i="1"/>
  <c r="T4" i="2"/>
  <c r="E73" i="2"/>
  <c r="M499" i="1"/>
  <c r="F299" i="1"/>
  <c r="R505" i="1"/>
  <c r="D4" i="1"/>
  <c r="G332" i="1"/>
  <c r="P261" i="1"/>
  <c r="AA251" i="1"/>
  <c r="N131" i="1"/>
  <c r="AG22" i="2"/>
  <c r="AB509" i="1"/>
  <c r="F217" i="1"/>
  <c r="M81" i="2"/>
  <c r="S38" i="1"/>
  <c r="M98" i="1"/>
  <c r="P72" i="1"/>
  <c r="S29" i="2"/>
  <c r="E509" i="1"/>
  <c r="G226" i="1"/>
  <c r="R298" i="1"/>
  <c r="E412" i="1"/>
  <c r="R413" i="1"/>
  <c r="I278" i="1"/>
  <c r="L494" i="1"/>
  <c r="L318" i="1"/>
  <c r="L330" i="1"/>
  <c r="AB169" i="1"/>
  <c r="AD7" i="2"/>
  <c r="E353" i="1"/>
  <c r="O415" i="1"/>
  <c r="S422" i="1"/>
  <c r="R293" i="1"/>
  <c r="D342" i="1"/>
  <c r="M90" i="1"/>
  <c r="W427" i="1"/>
  <c r="F59" i="1"/>
  <c r="E208" i="1"/>
  <c r="L154" i="1"/>
  <c r="L345" i="1"/>
  <c r="N256" i="1"/>
  <c r="S390" i="1"/>
  <c r="T339" i="1"/>
  <c r="D304" i="1"/>
  <c r="I303" i="1"/>
  <c r="S407" i="1"/>
  <c r="Z470" i="1"/>
  <c r="C90" i="2"/>
  <c r="L177" i="1"/>
  <c r="P252" i="1"/>
  <c r="S149" i="1"/>
  <c r="M54" i="2"/>
  <c r="R357" i="1"/>
  <c r="E488" i="1"/>
  <c r="N267" i="1"/>
  <c r="S85" i="1"/>
  <c r="P95" i="1"/>
  <c r="O23" i="1"/>
  <c r="I519" i="1"/>
  <c r="R417" i="1"/>
  <c r="AA114" i="1"/>
  <c r="J1" i="2"/>
  <c r="G39" i="2"/>
  <c r="C61" i="1"/>
  <c r="AB308" i="1"/>
  <c r="L453" i="1"/>
  <c r="P1" i="1"/>
  <c r="AA389" i="1"/>
  <c r="M430" i="1"/>
  <c r="F484" i="1"/>
  <c r="AB156" i="1"/>
  <c r="Q373" i="1"/>
  <c r="AG7" i="2"/>
  <c r="AA478" i="1"/>
  <c r="R525" i="1"/>
  <c r="P532" i="1"/>
  <c r="T101" i="1"/>
  <c r="AG14" i="2"/>
  <c r="R90" i="2"/>
  <c r="I321" i="1"/>
  <c r="D108" i="1"/>
  <c r="O481" i="1"/>
  <c r="F161" i="1"/>
  <c r="R223" i="1"/>
  <c r="N448" i="1"/>
  <c r="N112" i="1"/>
  <c r="Q175" i="1"/>
  <c r="F361" i="1"/>
  <c r="M85" i="1"/>
  <c r="D359" i="1"/>
  <c r="E99" i="1"/>
  <c r="M66" i="2"/>
  <c r="F59" i="2"/>
  <c r="AB108" i="1"/>
  <c r="S490" i="1"/>
  <c r="Q307" i="1"/>
  <c r="L189" i="1"/>
  <c r="AA466" i="1"/>
  <c r="M243" i="1"/>
  <c r="U52" i="2"/>
  <c r="S450" i="1"/>
  <c r="I417" i="1"/>
  <c r="H36" i="2"/>
  <c r="D46" i="1"/>
  <c r="E261" i="1"/>
  <c r="T340" i="1"/>
  <c r="O47" i="1"/>
  <c r="P25" i="1"/>
  <c r="AA262" i="1"/>
  <c r="F491" i="1"/>
  <c r="N500" i="1"/>
  <c r="N295" i="1"/>
  <c r="Q201" i="1"/>
  <c r="Z378" i="1"/>
  <c r="AA377" i="1"/>
  <c r="P458" i="1"/>
  <c r="S102" i="1"/>
  <c r="X32" i="2"/>
  <c r="I272" i="1"/>
  <c r="V91" i="2"/>
  <c r="N250" i="1"/>
  <c r="AA366" i="1"/>
  <c r="N155" i="1"/>
  <c r="T20" i="2"/>
  <c r="D186" i="1"/>
  <c r="F123" i="1"/>
  <c r="AA120" i="1"/>
  <c r="I527" i="1"/>
  <c r="S400" i="1"/>
  <c r="Z226" i="1"/>
  <c r="P430" i="1"/>
  <c r="G377" i="1"/>
  <c r="P519" i="1"/>
  <c r="E30" i="2"/>
  <c r="P405" i="1"/>
  <c r="T526" i="1"/>
  <c r="D410" i="1"/>
  <c r="F43" i="1"/>
  <c r="D205" i="1"/>
  <c r="AB213" i="1"/>
  <c r="G206" i="1"/>
  <c r="L308" i="1"/>
  <c r="J24" i="2"/>
  <c r="E352" i="1"/>
  <c r="Q204" i="1"/>
  <c r="N182" i="1"/>
  <c r="Z506" i="1"/>
  <c r="G150" i="1"/>
  <c r="I179" i="1"/>
  <c r="M195" i="1"/>
  <c r="AB405" i="1"/>
  <c r="AG76" i="2"/>
  <c r="S91" i="1"/>
  <c r="F498" i="1"/>
  <c r="E105" i="2"/>
  <c r="AB97" i="1"/>
  <c r="F351" i="1"/>
  <c r="R412" i="1"/>
  <c r="F160" i="1"/>
  <c r="R142" i="1"/>
  <c r="G407" i="1"/>
  <c r="T524" i="1"/>
  <c r="N4" i="1"/>
  <c r="T297" i="1"/>
  <c r="E499" i="1"/>
  <c r="E259" i="1"/>
  <c r="R8" i="1"/>
  <c r="P30" i="2"/>
  <c r="L256" i="1"/>
  <c r="Z329" i="1"/>
  <c r="T178" i="1"/>
  <c r="N79" i="2"/>
  <c r="L155" i="1"/>
  <c r="N103" i="1"/>
  <c r="M296" i="1"/>
  <c r="N257" i="1"/>
  <c r="A90" i="2"/>
  <c r="M209" i="1"/>
  <c r="D122" i="1"/>
  <c r="AB114" i="1"/>
  <c r="N41" i="2"/>
  <c r="AB397" i="1"/>
  <c r="L149" i="1"/>
  <c r="L331" i="1"/>
  <c r="I377" i="1"/>
  <c r="F279" i="1"/>
  <c r="U110" i="2"/>
  <c r="AB330" i="1"/>
  <c r="E161" i="1"/>
  <c r="D82" i="2"/>
  <c r="T191" i="1"/>
  <c r="T25" i="2"/>
  <c r="AA424" i="1"/>
  <c r="Q366" i="1"/>
  <c r="S510" i="1"/>
  <c r="A99" i="2"/>
  <c r="I188" i="1"/>
  <c r="N477" i="1"/>
  <c r="S475" i="1"/>
  <c r="AE57" i="2"/>
  <c r="Z204" i="1"/>
  <c r="P484" i="1"/>
  <c r="P108" i="2"/>
  <c r="T350" i="1"/>
  <c r="N481" i="1"/>
  <c r="L411" i="1"/>
  <c r="E177" i="1"/>
  <c r="P398" i="1"/>
  <c r="P173" i="1"/>
  <c r="T357" i="1"/>
  <c r="S7" i="2"/>
  <c r="R224" i="1"/>
  <c r="O462" i="1"/>
  <c r="O322" i="1"/>
  <c r="L241" i="1"/>
  <c r="E315" i="1"/>
  <c r="T77" i="1"/>
  <c r="X24" i="1"/>
  <c r="M357" i="1"/>
  <c r="G34" i="1"/>
  <c r="D23" i="1"/>
  <c r="D134" i="1"/>
  <c r="V21" i="2"/>
  <c r="W8" i="2"/>
  <c r="R264" i="1"/>
  <c r="N202" i="1"/>
  <c r="S274" i="1"/>
  <c r="D50" i="1"/>
  <c r="Q416" i="1"/>
  <c r="F495" i="1"/>
  <c r="S458" i="1"/>
  <c r="Q249" i="1"/>
  <c r="X47" i="2"/>
  <c r="D190" i="1"/>
  <c r="N217" i="1"/>
  <c r="D101" i="1"/>
  <c r="N190" i="1"/>
  <c r="D493" i="1"/>
  <c r="Q136" i="1"/>
  <c r="Z320" i="1"/>
  <c r="P295" i="1"/>
  <c r="P153" i="1"/>
  <c r="T507" i="1"/>
  <c r="Q303" i="1"/>
  <c r="G213" i="1"/>
  <c r="Q274" i="1"/>
  <c r="Z33" i="1"/>
  <c r="M36" i="1"/>
  <c r="E244" i="1"/>
  <c r="E46" i="1"/>
  <c r="L158" i="1"/>
  <c r="E107" i="1"/>
  <c r="AA163" i="1"/>
  <c r="C225" i="1"/>
  <c r="M510" i="1"/>
  <c r="AB207" i="1"/>
  <c r="S100" i="2"/>
  <c r="D62" i="2"/>
  <c r="E501" i="1"/>
  <c r="D219" i="1"/>
  <c r="N323" i="1"/>
  <c r="S145" i="1"/>
  <c r="G519" i="1"/>
  <c r="S333" i="1"/>
  <c r="Z9" i="1"/>
  <c r="F22" i="1"/>
  <c r="C62" i="1"/>
  <c r="F310" i="1"/>
  <c r="R531" i="1"/>
  <c r="R80" i="1"/>
  <c r="G50" i="2"/>
  <c r="V8" i="2"/>
  <c r="M198" i="1"/>
  <c r="D426" i="1"/>
  <c r="L100" i="1"/>
  <c r="Z76" i="1"/>
  <c r="AB107" i="1"/>
  <c r="P260" i="1"/>
  <c r="T31" i="2"/>
  <c r="N231" i="1"/>
  <c r="N82" i="2"/>
  <c r="AB317" i="1"/>
  <c r="S392" i="1"/>
  <c r="R109" i="1"/>
  <c r="P162" i="1"/>
  <c r="R403" i="1"/>
  <c r="H17" i="2"/>
  <c r="S194" i="1"/>
  <c r="U157" i="1"/>
  <c r="M312" i="1"/>
  <c r="D64" i="2"/>
  <c r="S325" i="1"/>
  <c r="S112" i="1"/>
  <c r="G469" i="1"/>
  <c r="S380" i="1"/>
  <c r="F260" i="1"/>
  <c r="R163" i="1"/>
  <c r="D492" i="1"/>
  <c r="L219" i="1"/>
  <c r="P448" i="1"/>
  <c r="L178" i="1"/>
  <c r="L459" i="1"/>
  <c r="M436" i="1"/>
  <c r="Q494" i="1"/>
  <c r="R38" i="1"/>
  <c r="G4" i="1"/>
  <c r="G336" i="1"/>
  <c r="L338" i="1"/>
  <c r="N67" i="1"/>
  <c r="G23" i="1"/>
  <c r="Z16" i="1"/>
  <c r="M60" i="2"/>
  <c r="I77" i="1"/>
  <c r="F525" i="1"/>
  <c r="T433" i="1"/>
  <c r="M403" i="1"/>
  <c r="L202" i="1"/>
  <c r="D363" i="1"/>
  <c r="F393" i="1"/>
  <c r="A61" i="2"/>
  <c r="S84" i="1"/>
  <c r="R383" i="1"/>
  <c r="M343" i="1"/>
  <c r="P234" i="1"/>
  <c r="AA142" i="1"/>
  <c r="N62" i="1"/>
  <c r="AA229" i="1"/>
  <c r="Z47" i="1"/>
  <c r="R30" i="1"/>
  <c r="U85" i="2"/>
  <c r="J4" i="2"/>
  <c r="D47" i="1"/>
  <c r="M51" i="2"/>
  <c r="Q18" i="1"/>
  <c r="G500" i="1"/>
  <c r="E440" i="1"/>
  <c r="Q455" i="1"/>
  <c r="L212" i="1"/>
  <c r="M145" i="1"/>
  <c r="G63" i="1"/>
  <c r="AA19" i="1"/>
  <c r="Q146" i="1"/>
  <c r="F381" i="1"/>
  <c r="X93" i="2"/>
  <c r="N303" i="1"/>
  <c r="R4" i="2"/>
  <c r="Z14" i="1"/>
  <c r="AA484" i="1"/>
  <c r="G57" i="1"/>
  <c r="E355" i="1"/>
  <c r="O496" i="1"/>
  <c r="F2" i="2"/>
  <c r="AE18" i="2"/>
  <c r="AB198" i="1"/>
  <c r="P377" i="1"/>
  <c r="N309" i="1"/>
  <c r="S394" i="1"/>
  <c r="E77" i="1"/>
  <c r="S255" i="1"/>
  <c r="AB327" i="1"/>
  <c r="S73" i="2"/>
  <c r="P163" i="1"/>
  <c r="M389" i="1"/>
  <c r="P118" i="1"/>
  <c r="N532" i="1"/>
  <c r="A6" i="2"/>
  <c r="AB29" i="1"/>
  <c r="I341" i="1"/>
  <c r="T311" i="1"/>
  <c r="N460" i="1"/>
  <c r="M70" i="2"/>
  <c r="M501" i="1"/>
  <c r="S59" i="2"/>
  <c r="E75" i="1"/>
  <c r="O89" i="2"/>
  <c r="S328" i="1"/>
  <c r="N321" i="1"/>
  <c r="Z308" i="1"/>
  <c r="F303" i="1"/>
  <c r="T28" i="1"/>
  <c r="AB221" i="1"/>
  <c r="S256" i="1"/>
  <c r="Q500" i="1"/>
  <c r="G400" i="1"/>
  <c r="I491" i="1"/>
  <c r="W502" i="1"/>
  <c r="AA72" i="1"/>
  <c r="W45" i="2"/>
  <c r="S504" i="1"/>
  <c r="AA144" i="1"/>
  <c r="I290" i="1"/>
  <c r="G140" i="1"/>
  <c r="E68" i="2"/>
  <c r="Z63" i="1"/>
  <c r="D322" i="1"/>
  <c r="I178" i="1"/>
  <c r="M47" i="1"/>
  <c r="E32" i="1"/>
  <c r="AA79" i="1"/>
  <c r="Z176" i="1"/>
  <c r="E507" i="1"/>
  <c r="I134" i="1"/>
  <c r="F98" i="1"/>
  <c r="E408" i="1"/>
  <c r="G343" i="1"/>
  <c r="S131" i="1"/>
  <c r="T174" i="1"/>
  <c r="P342" i="1"/>
  <c r="Q39" i="1"/>
  <c r="J13" i="2"/>
  <c r="L353" i="1"/>
  <c r="E221" i="1"/>
  <c r="F208" i="1"/>
  <c r="D20" i="1"/>
  <c r="AA141" i="1"/>
  <c r="AA12" i="1"/>
  <c r="F357" i="1"/>
  <c r="R4" i="1"/>
  <c r="AB507" i="1"/>
  <c r="E168" i="1"/>
  <c r="AB45" i="1"/>
  <c r="D428" i="1"/>
  <c r="T267" i="1"/>
  <c r="AA359" i="1"/>
  <c r="S416" i="1"/>
  <c r="G44" i="1"/>
  <c r="M253" i="1"/>
  <c r="F225" i="1"/>
  <c r="AA528" i="1"/>
  <c r="Z154" i="1"/>
  <c r="T515" i="1"/>
  <c r="Z310" i="1"/>
  <c r="D355" i="1"/>
  <c r="AA261" i="1"/>
  <c r="Z498" i="1"/>
  <c r="N290" i="1"/>
  <c r="AB18" i="1"/>
  <c r="AA209" i="1"/>
  <c r="AB119" i="1"/>
  <c r="D298" i="1"/>
  <c r="F503" i="1"/>
  <c r="M297" i="1"/>
  <c r="AB475" i="1"/>
  <c r="F487" i="1"/>
  <c r="R461" i="1"/>
  <c r="Q232" i="1"/>
  <c r="F533" i="1"/>
  <c r="G315" i="1"/>
  <c r="N223" i="1"/>
  <c r="T312" i="1"/>
  <c r="E468" i="1"/>
  <c r="M508" i="1"/>
  <c r="T221" i="1"/>
  <c r="P43" i="1"/>
  <c r="Z150" i="1"/>
  <c r="D254" i="1"/>
  <c r="D417" i="1"/>
  <c r="A97" i="2"/>
  <c r="F13" i="1"/>
  <c r="T73" i="1"/>
  <c r="O76" i="2"/>
  <c r="R338" i="1"/>
  <c r="S326" i="1"/>
  <c r="AB455" i="1"/>
  <c r="F1" i="2"/>
  <c r="E60" i="2"/>
  <c r="S14" i="1"/>
  <c r="F432" i="1"/>
  <c r="R215" i="1"/>
  <c r="P321" i="1"/>
  <c r="R363" i="1"/>
  <c r="T218" i="1"/>
  <c r="E180" i="1"/>
  <c r="R130" i="1"/>
  <c r="T493" i="1"/>
  <c r="L230" i="1"/>
  <c r="O241" i="1"/>
  <c r="E156" i="1"/>
  <c r="O164" i="1"/>
  <c r="AA314" i="1"/>
  <c r="T503" i="1"/>
  <c r="S489" i="1"/>
  <c r="X56" i="2"/>
  <c r="P109" i="1"/>
  <c r="J99" i="2"/>
  <c r="G193" i="1"/>
  <c r="T269" i="1"/>
  <c r="Z11" i="1"/>
  <c r="AB372" i="1"/>
  <c r="J109" i="2"/>
  <c r="AA455" i="1"/>
  <c r="M29" i="1"/>
  <c r="D482" i="1"/>
  <c r="D390" i="1"/>
  <c r="O273" i="1"/>
  <c r="E278" i="1"/>
  <c r="D115" i="1"/>
  <c r="AB63" i="2"/>
  <c r="AB301" i="1"/>
  <c r="V83" i="2"/>
  <c r="M441" i="1"/>
  <c r="G195" i="1"/>
  <c r="V72" i="2"/>
  <c r="V5" i="2"/>
  <c r="S411" i="1"/>
  <c r="Q99" i="1"/>
  <c r="N441" i="1"/>
  <c r="W155" i="1"/>
  <c r="I252" i="1"/>
  <c r="AA374" i="1"/>
  <c r="R423" i="1"/>
  <c r="F428" i="1"/>
  <c r="S134" i="1"/>
  <c r="F254" i="1"/>
  <c r="N98" i="1"/>
  <c r="AB148" i="1"/>
  <c r="S83" i="1"/>
  <c r="D353" i="1"/>
  <c r="P5" i="2"/>
  <c r="F29" i="2"/>
  <c r="I145" i="1"/>
  <c r="T27" i="1"/>
  <c r="D341" i="1"/>
  <c r="I199" i="1"/>
  <c r="L413" i="1"/>
  <c r="E428" i="1"/>
  <c r="Z188" i="1"/>
  <c r="G90" i="1"/>
  <c r="L272" i="1"/>
  <c r="M77" i="2"/>
  <c r="Q205" i="1"/>
  <c r="L114" i="1"/>
  <c r="F61" i="1"/>
  <c r="L314" i="1"/>
  <c r="F375" i="1"/>
  <c r="M534" i="1"/>
  <c r="R495" i="1"/>
  <c r="D395" i="1"/>
  <c r="AB26" i="1"/>
  <c r="E478" i="1"/>
  <c r="M68" i="2"/>
  <c r="T498" i="1"/>
  <c r="I455" i="1"/>
  <c r="Q368" i="1"/>
  <c r="E496" i="1"/>
  <c r="R396" i="1"/>
  <c r="AA343" i="1"/>
  <c r="R85" i="1"/>
  <c r="N175" i="1"/>
  <c r="L491" i="1"/>
  <c r="E510" i="1"/>
  <c r="M11" i="2"/>
  <c r="F298" i="1"/>
  <c r="M170" i="1"/>
  <c r="N386" i="1"/>
  <c r="T351" i="1"/>
  <c r="L205" i="1"/>
  <c r="G129" i="1"/>
  <c r="M140" i="1"/>
  <c r="D360" i="1"/>
  <c r="Z353" i="1"/>
  <c r="I98" i="1"/>
  <c r="Q111" i="1"/>
  <c r="E3" i="1"/>
  <c r="M114" i="1"/>
  <c r="N239" i="1"/>
  <c r="U68" i="2"/>
  <c r="O531" i="1"/>
  <c r="O62" i="1"/>
  <c r="AH51" i="2"/>
  <c r="M483" i="1"/>
  <c r="T533" i="1"/>
  <c r="N429" i="1"/>
  <c r="M523" i="1"/>
  <c r="R16" i="2"/>
  <c r="Z146" i="1"/>
  <c r="R267" i="1"/>
  <c r="U62" i="2"/>
  <c r="I212" i="1"/>
  <c r="G180" i="1"/>
  <c r="S21" i="2"/>
  <c r="O60" i="2"/>
  <c r="E533" i="1"/>
  <c r="F532" i="1"/>
  <c r="O497" i="1"/>
  <c r="T525" i="1"/>
  <c r="D11" i="1"/>
  <c r="L74" i="1"/>
  <c r="G437" i="1"/>
  <c r="I198" i="1"/>
  <c r="L278" i="1"/>
  <c r="I140" i="1"/>
  <c r="E296" i="1"/>
  <c r="F1" i="1"/>
  <c r="L210" i="1"/>
  <c r="A2" i="2"/>
  <c r="L134" i="1"/>
  <c r="S353" i="1"/>
  <c r="W63" i="2"/>
  <c r="AA169" i="1"/>
  <c r="C314" i="1"/>
  <c r="E84" i="1"/>
  <c r="Q109" i="1"/>
  <c r="S322" i="1"/>
  <c r="Q77" i="1"/>
  <c r="L268" i="1"/>
  <c r="O505" i="1"/>
  <c r="AA94" i="1"/>
  <c r="P197" i="1"/>
  <c r="F210" i="1"/>
  <c r="S319" i="1"/>
  <c r="F41" i="2"/>
  <c r="G230" i="1"/>
  <c r="Z370" i="1"/>
  <c r="Q202" i="1"/>
  <c r="E18" i="2"/>
  <c r="I235" i="1"/>
  <c r="N514" i="1"/>
  <c r="I448" i="1"/>
  <c r="F278" i="1"/>
  <c r="AB270" i="1"/>
  <c r="D141" i="1"/>
  <c r="L483" i="1"/>
  <c r="D366" i="1"/>
  <c r="D14" i="1"/>
  <c r="R15" i="1"/>
  <c r="R39" i="2"/>
  <c r="Q328" i="1"/>
  <c r="S347" i="1"/>
  <c r="R243" i="1"/>
  <c r="AE30" i="2"/>
  <c r="R507" i="1"/>
  <c r="P56" i="2"/>
  <c r="N410" i="1"/>
  <c r="AB392" i="1"/>
  <c r="AA50" i="1"/>
  <c r="F153" i="1"/>
  <c r="F510" i="1"/>
  <c r="E453" i="1"/>
  <c r="Q130" i="1"/>
  <c r="P29" i="1"/>
  <c r="T188" i="1"/>
  <c r="AB310" i="1"/>
  <c r="G212" i="1"/>
  <c r="D118" i="1"/>
  <c r="N5" i="1"/>
  <c r="AF72" i="2"/>
  <c r="R138" i="1"/>
  <c r="Q177" i="1"/>
  <c r="M110" i="2"/>
  <c r="X357" i="1"/>
  <c r="D424" i="1"/>
  <c r="X205" i="1"/>
  <c r="P7" i="2"/>
  <c r="V1" i="1"/>
  <c r="S352" i="1"/>
  <c r="N234" i="1"/>
  <c r="Q448" i="1"/>
  <c r="L139" i="1"/>
  <c r="D346" i="1"/>
  <c r="M99" i="1"/>
  <c r="F452" i="1"/>
  <c r="S215" i="1"/>
  <c r="O71" i="2"/>
  <c r="Z336" i="1"/>
  <c r="W413" i="1"/>
  <c r="AA155" i="1"/>
  <c r="S102" i="2"/>
  <c r="I207" i="1"/>
  <c r="G482" i="1"/>
  <c r="AB462" i="1"/>
  <c r="D421" i="1"/>
  <c r="M293" i="1"/>
  <c r="S421" i="1"/>
  <c r="O80" i="1"/>
  <c r="C226" i="1"/>
  <c r="AB41" i="2"/>
  <c r="AA307" i="1"/>
  <c r="AA520" i="1"/>
  <c r="Q370" i="1"/>
  <c r="N23" i="1"/>
  <c r="N119" i="1"/>
  <c r="AA123" i="1"/>
  <c r="F195" i="1"/>
  <c r="R37" i="2"/>
  <c r="L110" i="1"/>
  <c r="T329" i="1"/>
  <c r="E268" i="1"/>
  <c r="F75" i="1"/>
  <c r="E312" i="1"/>
  <c r="H44" i="2"/>
  <c r="N463" i="1"/>
  <c r="E461" i="1"/>
  <c r="P520" i="1"/>
  <c r="N377" i="1"/>
  <c r="AA482" i="1"/>
  <c r="I524" i="1"/>
  <c r="I97" i="1"/>
  <c r="D37" i="2"/>
  <c r="Z368" i="1"/>
  <c r="F79" i="1"/>
  <c r="R400" i="1"/>
  <c r="Z323" i="1"/>
  <c r="R370" i="1"/>
  <c r="E160" i="1"/>
  <c r="D455" i="1"/>
  <c r="E339" i="1"/>
  <c r="S74" i="1"/>
  <c r="F308" i="1"/>
  <c r="M528" i="1"/>
  <c r="E248" i="1"/>
  <c r="P239" i="1"/>
  <c r="G68" i="1"/>
  <c r="M173" i="1"/>
  <c r="Q227" i="1"/>
  <c r="T61" i="2"/>
  <c r="AA375" i="1"/>
  <c r="T235" i="1"/>
  <c r="AB332" i="1"/>
  <c r="AA75" i="1"/>
  <c r="F68" i="1"/>
  <c r="D259" i="1"/>
  <c r="I440" i="1"/>
  <c r="Q331" i="1"/>
  <c r="L503" i="1"/>
  <c r="G25" i="2"/>
  <c r="AB365" i="1"/>
  <c r="Q395" i="1"/>
  <c r="R304" i="1"/>
  <c r="W512" i="1"/>
  <c r="E255" i="1"/>
  <c r="P310" i="1"/>
  <c r="V53" i="2"/>
  <c r="E2" i="2"/>
  <c r="D6" i="1"/>
  <c r="P114" i="1"/>
  <c r="L102" i="1"/>
  <c r="S216" i="1"/>
  <c r="S26" i="1"/>
  <c r="Z7" i="1"/>
  <c r="I102" i="1"/>
  <c r="T98" i="1"/>
  <c r="Q399" i="1"/>
  <c r="AA503" i="1"/>
  <c r="S314" i="1"/>
  <c r="W23" i="2"/>
  <c r="L16" i="1"/>
  <c r="AB350" i="1"/>
  <c r="X105" i="2"/>
  <c r="AH94" i="2"/>
  <c r="D35" i="1"/>
  <c r="T242" i="1"/>
  <c r="P461" i="1"/>
  <c r="X52" i="2"/>
  <c r="I133" i="1"/>
  <c r="F365" i="1"/>
  <c r="Z366" i="1"/>
  <c r="U24" i="2"/>
  <c r="T17" i="2"/>
  <c r="I159" i="1"/>
  <c r="R145" i="1"/>
  <c r="AF40" i="2"/>
  <c r="AB452" i="1"/>
  <c r="Q486" i="1"/>
  <c r="E140" i="1"/>
  <c r="P248" i="1"/>
  <c r="E142" i="1"/>
  <c r="I259" i="1"/>
  <c r="AB98" i="1"/>
  <c r="AB249" i="1"/>
  <c r="L146" i="1"/>
  <c r="N8" i="2"/>
  <c r="F107" i="1"/>
  <c r="AD57" i="2"/>
  <c r="F74" i="1"/>
  <c r="X513" i="1"/>
  <c r="AB467" i="1"/>
  <c r="AA439" i="1"/>
  <c r="S501" i="1"/>
  <c r="L479" i="1"/>
  <c r="N21" i="2"/>
  <c r="F77" i="2"/>
  <c r="F12" i="1"/>
  <c r="AB450" i="1"/>
  <c r="N156" i="1"/>
  <c r="T231" i="1"/>
  <c r="I82" i="1"/>
  <c r="I512" i="1"/>
  <c r="L175" i="1"/>
  <c r="L49" i="1"/>
  <c r="N388" i="1"/>
  <c r="Q108" i="1"/>
  <c r="L118" i="1"/>
  <c r="M519" i="1"/>
  <c r="S79" i="1"/>
  <c r="P68" i="2"/>
  <c r="L263" i="1"/>
  <c r="D229" i="1"/>
  <c r="N170" i="1"/>
  <c r="M118" i="1"/>
  <c r="AH29" i="2"/>
  <c r="E314" i="1"/>
  <c r="AB309" i="1"/>
  <c r="T379" i="1"/>
  <c r="Z230" i="1"/>
  <c r="O353" i="1"/>
  <c r="M135" i="1"/>
  <c r="T360" i="1"/>
  <c r="N48" i="2"/>
  <c r="P323" i="1"/>
  <c r="E164" i="1"/>
  <c r="AB118" i="1"/>
  <c r="AB302" i="1"/>
  <c r="G324" i="1"/>
  <c r="F85" i="1"/>
  <c r="R468" i="1"/>
  <c r="T107" i="1"/>
  <c r="P347" i="1"/>
  <c r="Z149" i="1"/>
  <c r="Q273" i="1"/>
  <c r="P159" i="1"/>
  <c r="L423" i="1"/>
  <c r="T94" i="1"/>
  <c r="P36" i="2"/>
  <c r="D325" i="1"/>
  <c r="T84" i="1"/>
  <c r="G306" i="1"/>
  <c r="AD5" i="2"/>
  <c r="Q60" i="2"/>
  <c r="U43" i="2"/>
  <c r="F228" i="1"/>
  <c r="Q383" i="1"/>
  <c r="AA242" i="1"/>
  <c r="W105" i="2"/>
  <c r="Q496" i="1"/>
  <c r="Q400" i="1"/>
  <c r="D340" i="1"/>
  <c r="O375" i="1"/>
  <c r="F131" i="1"/>
  <c r="P74" i="1"/>
  <c r="R362" i="1"/>
  <c r="I308" i="1"/>
  <c r="R352" i="1"/>
  <c r="I4" i="1"/>
  <c r="AB383" i="1"/>
  <c r="E394" i="1"/>
  <c r="F316" i="1"/>
  <c r="L482" i="1"/>
  <c r="Q261" i="1"/>
  <c r="I496" i="1"/>
  <c r="P269" i="1"/>
  <c r="D490" i="1"/>
  <c r="AB355" i="1"/>
  <c r="M462" i="1"/>
  <c r="E169" i="1"/>
  <c r="G497" i="1"/>
  <c r="D96" i="2"/>
  <c r="I135" i="1"/>
  <c r="P75" i="1"/>
  <c r="Q132" i="1"/>
  <c r="T78" i="1"/>
  <c r="T308" i="1"/>
  <c r="T18" i="2"/>
  <c r="S506" i="1"/>
  <c r="M1" i="1"/>
  <c r="P46" i="1"/>
  <c r="G205" i="1"/>
  <c r="R375" i="1"/>
  <c r="W17" i="2"/>
  <c r="P466" i="1"/>
  <c r="Q47" i="1"/>
  <c r="W152" i="1"/>
  <c r="F489" i="1"/>
  <c r="S362" i="1"/>
  <c r="Q468" i="1"/>
  <c r="AA301" i="1"/>
  <c r="A100" i="2"/>
  <c r="F314" i="1"/>
  <c r="Q37" i="1"/>
  <c r="AG35" i="2"/>
  <c r="E243" i="1"/>
  <c r="G35" i="1"/>
  <c r="AA489" i="1"/>
  <c r="G347" i="1"/>
  <c r="AA90" i="1"/>
  <c r="I47" i="1"/>
  <c r="G62" i="1"/>
  <c r="AA392" i="1"/>
  <c r="N120" i="1"/>
  <c r="S361" i="1"/>
  <c r="T369" i="1"/>
  <c r="N414" i="1"/>
  <c r="W153" i="1"/>
  <c r="F383" i="1"/>
  <c r="M493" i="1"/>
  <c r="G66" i="1"/>
  <c r="E227" i="1"/>
  <c r="H42" i="2"/>
  <c r="Q50" i="2"/>
  <c r="M461" i="1"/>
  <c r="D237" i="1"/>
  <c r="R512" i="1"/>
  <c r="S189" i="1"/>
  <c r="E153" i="1"/>
  <c r="G149" i="1"/>
  <c r="E316" i="1"/>
  <c r="Z327" i="1"/>
  <c r="Q123" i="1"/>
  <c r="J38" i="2"/>
  <c r="N411" i="1"/>
  <c r="D496" i="1"/>
  <c r="S36" i="2"/>
  <c r="N403" i="1"/>
  <c r="O100" i="2"/>
  <c r="N30" i="2"/>
  <c r="F141" i="1"/>
  <c r="R420" i="1"/>
  <c r="I441" i="1"/>
  <c r="L477" i="1"/>
  <c r="Q490" i="1"/>
  <c r="R173" i="1"/>
  <c r="I347" i="1"/>
  <c r="AB222" i="1"/>
  <c r="S423" i="1"/>
  <c r="AB346" i="1"/>
  <c r="N346" i="1"/>
  <c r="I171" i="1"/>
  <c r="AA488" i="1"/>
  <c r="G48" i="1"/>
  <c r="S4" i="1"/>
  <c r="V102" i="2"/>
  <c r="G321" i="1"/>
  <c r="Q157" i="1"/>
  <c r="M102" i="1"/>
  <c r="T300" i="1"/>
  <c r="P512" i="1"/>
  <c r="J79" i="2"/>
  <c r="N68" i="1"/>
  <c r="Z507" i="1"/>
  <c r="T349" i="1"/>
  <c r="I457" i="1"/>
  <c r="Q428" i="1"/>
  <c r="N393" i="1"/>
  <c r="L470" i="1"/>
  <c r="N32" i="2"/>
  <c r="P381" i="1"/>
  <c r="AB145" i="1"/>
  <c r="E528" i="1"/>
  <c r="D331" i="1"/>
  <c r="S299" i="1"/>
  <c r="S467" i="1"/>
  <c r="P415" i="1"/>
  <c r="AB1" i="2"/>
  <c r="M255" i="1"/>
  <c r="I110" i="1"/>
  <c r="Q235" i="1"/>
  <c r="AF36" i="2"/>
  <c r="J9" i="2"/>
  <c r="AA154" i="1"/>
  <c r="AA338" i="1"/>
  <c r="D8" i="1"/>
  <c r="I462" i="1"/>
  <c r="AB322" i="1"/>
  <c r="E342" i="1"/>
  <c r="I422" i="1"/>
  <c r="Q260" i="1"/>
  <c r="P210" i="1"/>
  <c r="I100" i="1"/>
  <c r="V100" i="2"/>
  <c r="AB243" i="1"/>
  <c r="Z497" i="1"/>
  <c r="N379" i="1"/>
  <c r="AB94" i="1"/>
  <c r="G162" i="1"/>
  <c r="T270" i="1"/>
  <c r="D37" i="1"/>
  <c r="D533" i="1"/>
  <c r="R494" i="1"/>
  <c r="L80" i="1"/>
  <c r="M207" i="1"/>
  <c r="N46" i="1"/>
  <c r="AB117" i="1"/>
  <c r="R398" i="1"/>
  <c r="A44" i="2"/>
  <c r="Q489" i="1"/>
  <c r="L77" i="1"/>
  <c r="Z333" i="1"/>
  <c r="F459" i="1"/>
  <c r="T8" i="1"/>
  <c r="F506" i="1"/>
  <c r="AB314" i="1"/>
  <c r="Q325" i="1"/>
  <c r="N109" i="1"/>
  <c r="I99" i="1"/>
  <c r="X83" i="2"/>
  <c r="M311" i="1"/>
  <c r="D116" i="1"/>
  <c r="Z263" i="1"/>
  <c r="M321" i="1"/>
  <c r="AF35" i="2"/>
  <c r="I461" i="1"/>
  <c r="T223" i="1"/>
  <c r="AB482" i="1"/>
  <c r="O450" i="1"/>
  <c r="U99" i="2"/>
  <c r="N7" i="1"/>
  <c r="I221" i="1"/>
  <c r="M225" i="1"/>
  <c r="AF53" i="2"/>
  <c r="S316" i="1"/>
  <c r="N136" i="1"/>
  <c r="F198" i="1"/>
  <c r="M205" i="1"/>
  <c r="G96" i="2"/>
  <c r="F479" i="1"/>
  <c r="Q407" i="1"/>
  <c r="AA80" i="1"/>
  <c r="L377" i="1"/>
  <c r="Z348" i="1"/>
  <c r="AA230" i="1"/>
  <c r="F96" i="1"/>
  <c r="L44" i="1"/>
  <c r="I176" i="1"/>
  <c r="G440" i="1"/>
  <c r="E500" i="1"/>
  <c r="M465" i="1"/>
  <c r="F207" i="1"/>
  <c r="Q197" i="1"/>
  <c r="Z71" i="1"/>
  <c r="I175" i="1"/>
  <c r="T23" i="1"/>
  <c r="AA10" i="1"/>
  <c r="AB459" i="1"/>
  <c r="Z244" i="1"/>
  <c r="N454" i="1"/>
  <c r="Q64" i="1"/>
  <c r="T367" i="1"/>
  <c r="G258" i="1"/>
  <c r="Z500" i="1"/>
  <c r="R6" i="2"/>
  <c r="T241" i="1"/>
  <c r="N214" i="1"/>
  <c r="AA197" i="1"/>
  <c r="T142" i="1"/>
  <c r="G477" i="1"/>
  <c r="I108" i="1"/>
  <c r="D128" i="1"/>
  <c r="S12" i="2"/>
  <c r="A37" i="2"/>
  <c r="I111" i="1"/>
  <c r="M18" i="1"/>
  <c r="P314" i="1"/>
  <c r="AB19" i="1"/>
  <c r="M16" i="1"/>
  <c r="N395" i="1"/>
  <c r="O96" i="1"/>
  <c r="G100" i="1"/>
  <c r="R137" i="1"/>
  <c r="N432" i="1"/>
  <c r="X154" i="1"/>
  <c r="I288" i="1"/>
  <c r="AB232" i="1"/>
  <c r="S509" i="1"/>
  <c r="L92" i="1"/>
  <c r="N97" i="2"/>
  <c r="S156" i="1"/>
  <c r="A19" i="2"/>
  <c r="S1" i="2"/>
  <c r="T528" i="1"/>
  <c r="T402" i="1"/>
  <c r="M522" i="1"/>
  <c r="P128" i="1"/>
  <c r="I534" i="1"/>
  <c r="AA217" i="1"/>
  <c r="I328" i="1"/>
  <c r="P311" i="1"/>
  <c r="Z20" i="1"/>
  <c r="J77" i="2"/>
  <c r="D91" i="1"/>
  <c r="D372" i="1"/>
  <c r="S161" i="1"/>
  <c r="S5" i="1"/>
  <c r="D41" i="2"/>
  <c r="E505" i="1"/>
  <c r="T302" i="1"/>
  <c r="E61" i="1"/>
  <c r="D109" i="1"/>
  <c r="AF39" i="2"/>
  <c r="Z469" i="1"/>
  <c r="AA313" i="1"/>
  <c r="AA304" i="1"/>
  <c r="D16" i="2"/>
  <c r="V62" i="2"/>
  <c r="N511" i="1"/>
  <c r="L343" i="1"/>
  <c r="AB60" i="1"/>
  <c r="E375" i="1"/>
  <c r="Z170" i="1"/>
  <c r="Q142" i="1"/>
  <c r="AA479" i="1"/>
  <c r="R28" i="2"/>
  <c r="L213" i="1"/>
  <c r="F93" i="2"/>
  <c r="U96" i="2"/>
  <c r="R380" i="1"/>
  <c r="F15" i="1"/>
  <c r="N97" i="1"/>
  <c r="Q462" i="1"/>
  <c r="F209" i="1"/>
  <c r="Q74" i="2"/>
  <c r="G169" i="1"/>
  <c r="P302" i="1"/>
  <c r="N226" i="1"/>
  <c r="F256" i="1"/>
  <c r="N210" i="1"/>
  <c r="S182" i="1"/>
  <c r="L484" i="1"/>
  <c r="AA310" i="1"/>
  <c r="G412" i="1"/>
  <c r="Q534" i="1"/>
  <c r="I21" i="1"/>
  <c r="M498" i="1"/>
  <c r="R98" i="1"/>
  <c r="F450" i="1"/>
  <c r="Z274" i="1"/>
  <c r="Z157" i="1"/>
  <c r="E97" i="1"/>
  <c r="F179" i="1"/>
  <c r="AB241" i="1"/>
  <c r="G14" i="1"/>
  <c r="N108" i="1"/>
  <c r="S118" i="1"/>
  <c r="N85" i="1"/>
  <c r="I208" i="1"/>
  <c r="AF19" i="2"/>
  <c r="T33" i="2"/>
  <c r="N243" i="1"/>
  <c r="Z161" i="1"/>
  <c r="D30" i="1"/>
  <c r="S301" i="1"/>
  <c r="I8" i="1"/>
  <c r="V27" i="2"/>
  <c r="Q82" i="2"/>
  <c r="Q131" i="1"/>
  <c r="N188" i="1"/>
  <c r="S103" i="2"/>
  <c r="Q17" i="1"/>
  <c r="T477" i="1"/>
  <c r="E341" i="1"/>
  <c r="E16" i="1"/>
  <c r="O243" i="1"/>
  <c r="S515" i="1"/>
  <c r="P224" i="1"/>
  <c r="X94" i="2"/>
  <c r="N394" i="1"/>
  <c r="T15" i="2"/>
  <c r="S386" i="1"/>
  <c r="R181" i="1"/>
  <c r="N437" i="1"/>
  <c r="C316" i="1"/>
  <c r="P363" i="1"/>
  <c r="P490" i="1"/>
  <c r="D344" i="1"/>
  <c r="R351" i="1"/>
  <c r="G463" i="1"/>
  <c r="I117" i="1"/>
  <c r="I6" i="1"/>
  <c r="D470" i="1"/>
  <c r="Q3" i="1"/>
  <c r="E73" i="1"/>
  <c r="N375" i="1"/>
  <c r="E452" i="1"/>
  <c r="D72" i="1"/>
  <c r="L120" i="1"/>
  <c r="M326" i="1"/>
  <c r="Q237" i="1"/>
  <c r="C23" i="1"/>
  <c r="S259" i="1"/>
  <c r="L119" i="1"/>
  <c r="I147" i="1"/>
  <c r="Z321" i="1"/>
  <c r="C262" i="1"/>
  <c r="I130" i="1"/>
  <c r="I26" i="1"/>
  <c r="L297" i="1"/>
  <c r="N64" i="1"/>
  <c r="M60" i="1"/>
  <c r="R120" i="1"/>
  <c r="P489" i="1"/>
  <c r="T470" i="1"/>
  <c r="D526" i="1"/>
  <c r="Z202" i="1"/>
  <c r="L365" i="1"/>
  <c r="P19" i="1"/>
  <c r="AB466" i="1"/>
  <c r="D58" i="2"/>
  <c r="Q355" i="1"/>
  <c r="T304" i="1"/>
  <c r="G219" i="1"/>
  <c r="P312" i="1"/>
  <c r="D210" i="1"/>
  <c r="I396" i="1"/>
  <c r="AA268" i="1"/>
  <c r="F111" i="1"/>
  <c r="E9" i="2"/>
  <c r="M490" i="1"/>
  <c r="AB358" i="1"/>
  <c r="S96" i="1"/>
  <c r="F117" i="1"/>
  <c r="Q12" i="1"/>
  <c r="M410" i="1"/>
  <c r="R391" i="1"/>
  <c r="N275" i="1"/>
  <c r="S142" i="1"/>
  <c r="Q241" i="1"/>
  <c r="T100" i="1"/>
  <c r="Q25" i="1"/>
  <c r="M200" i="1"/>
  <c r="E93" i="2"/>
  <c r="L399" i="1"/>
  <c r="Q68" i="1"/>
  <c r="AD87" i="2"/>
  <c r="Q422" i="1"/>
  <c r="D133" i="1"/>
  <c r="F28" i="1"/>
  <c r="E484" i="1"/>
  <c r="AA396" i="1"/>
  <c r="F224" i="1"/>
  <c r="M142" i="1"/>
  <c r="D49" i="1"/>
  <c r="V16" i="2"/>
  <c r="P288" i="1"/>
  <c r="O513" i="1"/>
  <c r="T144" i="1"/>
  <c r="R102" i="1"/>
  <c r="AA315" i="1"/>
  <c r="I34" i="1"/>
  <c r="W20" i="2"/>
  <c r="N91" i="1"/>
  <c r="O48" i="1"/>
  <c r="P48" i="1"/>
  <c r="F411" i="1"/>
  <c r="M428" i="1"/>
  <c r="G488" i="1"/>
  <c r="Z128" i="1"/>
  <c r="F244" i="1"/>
  <c r="E100" i="2"/>
  <c r="Q461" i="1"/>
  <c r="Q454" i="1"/>
  <c r="G28" i="1"/>
  <c r="G135" i="1"/>
  <c r="S111" i="1"/>
  <c r="AE7" i="2"/>
  <c r="U11" i="2"/>
  <c r="L383" i="1"/>
  <c r="W156" i="1"/>
  <c r="Q214" i="1"/>
  <c r="N221" i="1"/>
  <c r="Z273" i="1"/>
  <c r="P483" i="1"/>
  <c r="R169" i="1"/>
  <c r="R453" i="1"/>
  <c r="S329" i="1"/>
  <c r="M416" i="1"/>
  <c r="T122" i="1"/>
  <c r="N74" i="1"/>
  <c r="V154" i="1"/>
  <c r="O250" i="1"/>
  <c r="M193" i="1"/>
  <c r="D84" i="1"/>
  <c r="S43" i="1"/>
  <c r="AB7" i="1"/>
  <c r="F345" i="1"/>
  <c r="M21" i="2"/>
  <c r="T354" i="1"/>
  <c r="Z175" i="1"/>
  <c r="D23" i="2"/>
  <c r="G208" i="1"/>
  <c r="P343" i="1"/>
  <c r="Q28" i="1"/>
  <c r="I240" i="1"/>
  <c r="E32" i="2"/>
  <c r="H10" i="2"/>
  <c r="F214" i="1"/>
  <c r="H61" i="2"/>
  <c r="Q299" i="1"/>
  <c r="N372" i="1"/>
  <c r="N7" i="2"/>
  <c r="L426" i="1"/>
  <c r="T3" i="1"/>
  <c r="T9" i="2"/>
  <c r="L288" i="1"/>
  <c r="T450" i="1"/>
  <c r="F382" i="1"/>
  <c r="N17" i="2"/>
  <c r="G304" i="1"/>
  <c r="N101" i="2"/>
  <c r="T24" i="2"/>
  <c r="S195" i="1"/>
  <c r="M408" i="1"/>
  <c r="D151" i="1"/>
  <c r="I113" i="1"/>
  <c r="G298" i="1"/>
  <c r="AA122" i="1"/>
  <c r="E57" i="1"/>
  <c r="AB408" i="1"/>
  <c r="Q10" i="2"/>
  <c r="S33" i="2"/>
  <c r="O133" i="1"/>
  <c r="Q242" i="1"/>
  <c r="N35" i="1"/>
  <c r="M514" i="1"/>
  <c r="G156" i="1"/>
  <c r="E253" i="1"/>
  <c r="I338" i="1"/>
  <c r="Z487" i="1"/>
  <c r="F499" i="1"/>
  <c r="G428" i="1"/>
  <c r="T130" i="1"/>
  <c r="S495" i="1"/>
  <c r="R358" i="1"/>
  <c r="AB381" i="1"/>
  <c r="R21" i="2"/>
  <c r="AB357" i="1"/>
  <c r="M407" i="1"/>
  <c r="AA179" i="1"/>
  <c r="Z461" i="1"/>
  <c r="Z254" i="1"/>
  <c r="N10" i="2"/>
  <c r="P507" i="1"/>
  <c r="L1" i="1"/>
  <c r="M302" i="1"/>
  <c r="I414" i="1"/>
  <c r="R439" i="1"/>
  <c r="L396" i="1"/>
  <c r="T368" i="1"/>
  <c r="L208" i="1"/>
  <c r="S387" i="1"/>
  <c r="V29" i="2"/>
  <c r="D506" i="1"/>
  <c r="D487" i="1"/>
  <c r="G36" i="1"/>
  <c r="I237" i="1"/>
  <c r="Q27" i="1"/>
  <c r="D284" i="1"/>
  <c r="Q488" i="1"/>
  <c r="X1" i="1"/>
  <c r="AA387" i="1"/>
  <c r="AA18" i="1"/>
  <c r="L13" i="1"/>
  <c r="N262" i="1"/>
  <c r="Q1" i="2"/>
  <c r="N319" i="1"/>
  <c r="D63" i="1"/>
  <c r="S107" i="2"/>
  <c r="AA371" i="1"/>
  <c r="Q78" i="1"/>
  <c r="G15" i="1"/>
  <c r="T39" i="1"/>
  <c r="S241" i="1"/>
  <c r="T256" i="1"/>
  <c r="E323" i="1"/>
  <c r="I521" i="1"/>
  <c r="J14" i="2"/>
  <c r="AB50" i="1"/>
  <c r="R511" i="1"/>
  <c r="AA494" i="1"/>
  <c r="L275" i="1"/>
  <c r="L309" i="1"/>
  <c r="J93" i="2"/>
  <c r="T40" i="1"/>
  <c r="G33" i="1"/>
  <c r="I46" i="1"/>
  <c r="AB116" i="1"/>
  <c r="L215" i="1"/>
  <c r="R175" i="1"/>
  <c r="AB306" i="1"/>
  <c r="N499" i="1"/>
  <c r="M378" i="1"/>
  <c r="N528" i="1"/>
  <c r="N237" i="1"/>
  <c r="D30" i="2"/>
  <c r="P205" i="1"/>
  <c r="V19" i="2"/>
  <c r="Q181" i="1"/>
  <c r="P40" i="1"/>
  <c r="N116" i="1"/>
  <c r="I346" i="1"/>
  <c r="M128" i="1"/>
  <c r="L152" i="1"/>
  <c r="AB88" i="2"/>
  <c r="AJ78" i="2"/>
  <c r="T19" i="1"/>
  <c r="O28" i="2"/>
  <c r="M187" i="1"/>
  <c r="Z6" i="1"/>
  <c r="Z307" i="1"/>
  <c r="D78" i="1"/>
  <c r="L394" i="1"/>
  <c r="F501" i="1"/>
  <c r="N458" i="1"/>
  <c r="E23" i="1"/>
  <c r="G424" i="1"/>
  <c r="W418" i="1"/>
  <c r="P309" i="1"/>
  <c r="D239" i="1"/>
  <c r="S32" i="2"/>
  <c r="P264" i="1"/>
  <c r="W92" i="2"/>
  <c r="R125" i="1"/>
  <c r="N253" i="1"/>
  <c r="AB191" i="1"/>
  <c r="AB62" i="1"/>
  <c r="Q296" i="1"/>
  <c r="T248" i="1"/>
  <c r="Q351" i="1"/>
  <c r="I332" i="1"/>
  <c r="D164" i="1"/>
  <c r="AF30" i="2"/>
  <c r="T44" i="2"/>
  <c r="Q101" i="1"/>
  <c r="P417" i="1"/>
  <c r="L450" i="1"/>
  <c r="O453" i="1"/>
  <c r="O298" i="1"/>
  <c r="Z17" i="1"/>
  <c r="X156" i="1"/>
  <c r="AE20" i="2"/>
  <c r="AB66" i="1"/>
  <c r="R321" i="1"/>
  <c r="P293" i="1"/>
  <c r="Q180" i="1"/>
  <c r="Q66" i="1"/>
  <c r="I162" i="1"/>
  <c r="I383" i="1"/>
  <c r="M177" i="1"/>
  <c r="I315" i="1"/>
  <c r="Q34" i="1"/>
  <c r="F251" i="1"/>
  <c r="Z44" i="1"/>
  <c r="T5" i="2"/>
  <c r="N457" i="1"/>
  <c r="P499" i="1"/>
  <c r="W154" i="1"/>
  <c r="F243" i="1"/>
  <c r="M64" i="1"/>
  <c r="X152" i="1"/>
  <c r="R2" i="2"/>
  <c r="I204" i="1"/>
  <c r="F58" i="2"/>
  <c r="I420" i="1"/>
  <c r="AD2" i="2"/>
  <c r="AJ103" i="2"/>
  <c r="O274" i="1"/>
  <c r="M237" i="1"/>
  <c r="T150" i="1"/>
  <c r="N259" i="1"/>
  <c r="M22" i="2"/>
  <c r="M101" i="1"/>
  <c r="J40" i="2"/>
  <c r="G325" i="1"/>
  <c r="I494" i="1"/>
  <c r="D117" i="1"/>
  <c r="Q482" i="1"/>
  <c r="G107" i="2"/>
  <c r="Q7" i="2"/>
  <c r="E407" i="1"/>
  <c r="S323" i="1"/>
  <c r="R251" i="1"/>
  <c r="I144" i="1"/>
  <c r="W2" i="2"/>
  <c r="M216" i="1"/>
  <c r="T370" i="1"/>
  <c r="F38" i="2"/>
  <c r="A10" i="2"/>
  <c r="N146" i="1"/>
  <c r="E181" i="1"/>
  <c r="AG94" i="2"/>
  <c r="Z34" i="1"/>
  <c r="D17" i="1"/>
  <c r="N154" i="1"/>
  <c r="F333" i="1"/>
  <c r="T430" i="1"/>
  <c r="G418" i="1"/>
  <c r="P66" i="1"/>
  <c r="R496" i="1"/>
  <c r="P217" i="1"/>
  <c r="G416" i="1"/>
  <c r="AF78" i="2"/>
  <c r="R394" i="1"/>
  <c r="R262" i="1"/>
  <c r="G320" i="1"/>
  <c r="G97" i="1"/>
  <c r="G534" i="1"/>
  <c r="S267" i="1"/>
  <c r="R62" i="1"/>
  <c r="G429" i="1"/>
  <c r="AB120" i="1"/>
  <c r="F9" i="1"/>
  <c r="Z209" i="1"/>
  <c r="I39" i="1"/>
  <c r="O304" i="1"/>
  <c r="G1" i="1"/>
  <c r="Z162" i="1"/>
  <c r="E222" i="1"/>
  <c r="F326" i="1"/>
  <c r="G238" i="1"/>
  <c r="Q72" i="1"/>
  <c r="T18" i="1"/>
  <c r="AA58" i="1"/>
  <c r="R341" i="1"/>
  <c r="E58" i="1"/>
  <c r="E470" i="1"/>
  <c r="L405" i="1"/>
  <c r="D160" i="1"/>
  <c r="D460" i="1"/>
  <c r="N263" i="1"/>
  <c r="G227" i="1"/>
  <c r="P178" i="1"/>
  <c r="T88" i="2"/>
  <c r="T453" i="1"/>
  <c r="AA369" i="1"/>
  <c r="M95" i="1"/>
  <c r="Z492" i="1"/>
  <c r="P215" i="1"/>
  <c r="P270" i="1"/>
  <c r="Q161" i="1"/>
  <c r="N128" i="1"/>
  <c r="G82" i="1"/>
  <c r="Q405" i="1"/>
  <c r="M247" i="1"/>
  <c r="U16" i="2"/>
  <c r="AG74" i="2"/>
  <c r="P259" i="1"/>
  <c r="L412" i="1"/>
  <c r="AA318" i="1"/>
  <c r="Q150" i="1"/>
  <c r="Q107" i="1"/>
  <c r="S113" i="1"/>
  <c r="S168" i="1"/>
  <c r="AD37" i="2"/>
  <c r="E43" i="1"/>
  <c r="O40" i="2"/>
  <c r="D3" i="1"/>
  <c r="F212" i="1"/>
  <c r="E458" i="1"/>
  <c r="I131" i="1"/>
  <c r="E317" i="1"/>
  <c r="F229" i="1"/>
  <c r="T147" i="1"/>
  <c r="L188" i="1"/>
  <c r="AB501" i="1"/>
  <c r="X31" i="2"/>
  <c r="S58" i="1"/>
  <c r="R408" i="1"/>
  <c r="N140" i="1"/>
  <c r="AB49" i="1"/>
  <c r="X99" i="1"/>
  <c r="AB147" i="1"/>
  <c r="Z120" i="1"/>
  <c r="N524" i="1"/>
  <c r="E137" i="1"/>
  <c r="Q108" i="2"/>
  <c r="M439" i="1"/>
  <c r="L34" i="1"/>
  <c r="AB205" i="1"/>
  <c r="D330" i="1"/>
  <c r="Q524" i="1"/>
  <c r="D73" i="2"/>
  <c r="N491" i="1"/>
  <c r="T513" i="1"/>
  <c r="D21" i="1"/>
  <c r="R198" i="1"/>
  <c r="U58" i="2"/>
  <c r="F97" i="1"/>
  <c r="W504" i="1"/>
  <c r="S23" i="1"/>
  <c r="N293" i="1"/>
  <c r="D135" i="1"/>
  <c r="E96" i="1"/>
  <c r="AB487" i="1"/>
  <c r="T196" i="1"/>
  <c r="R484" i="1"/>
  <c r="AD94" i="2"/>
  <c r="D528" i="1"/>
  <c r="O136" i="1"/>
  <c r="I412" i="1"/>
  <c r="AB84" i="1"/>
  <c r="Q415" i="1"/>
  <c r="G1" i="2"/>
  <c r="G466" i="1"/>
  <c r="AA329" i="1"/>
  <c r="M489" i="1"/>
  <c r="D501" i="1"/>
  <c r="X62" i="2"/>
  <c r="Q270" i="1"/>
  <c r="E387" i="1"/>
  <c r="T204" i="1"/>
  <c r="V98" i="2"/>
  <c r="E17" i="1"/>
  <c r="R234" i="1"/>
  <c r="M432" i="1"/>
  <c r="N225" i="1"/>
  <c r="M511" i="1"/>
  <c r="P113" i="1"/>
  <c r="I520" i="1"/>
  <c r="S97" i="2"/>
  <c r="X39" i="2"/>
  <c r="AB6" i="1"/>
  <c r="J54" i="2"/>
  <c r="M24" i="1"/>
  <c r="P37" i="2"/>
  <c r="Q196" i="1"/>
  <c r="S370" i="1"/>
  <c r="I388" i="1"/>
  <c r="Z364" i="1"/>
  <c r="M144" i="1"/>
  <c r="N244" i="1"/>
  <c r="L36" i="1"/>
  <c r="X73" i="2"/>
  <c r="E283" i="1"/>
  <c r="H30" i="2"/>
  <c r="AF31" i="2"/>
  <c r="G39" i="1"/>
  <c r="C1" i="2"/>
  <c r="G144" i="1"/>
  <c r="S315" i="1"/>
  <c r="P219" i="1"/>
  <c r="G366" i="1"/>
  <c r="P161" i="1"/>
  <c r="E120" i="1"/>
  <c r="E215" i="1"/>
  <c r="F379" i="1"/>
  <c r="R50" i="2"/>
  <c r="I269" i="1"/>
  <c r="E95" i="2"/>
  <c r="T49" i="1"/>
  <c r="Q330" i="1"/>
  <c r="E85" i="1"/>
  <c r="Q343" i="1"/>
  <c r="D206" i="1"/>
  <c r="E332" i="1"/>
  <c r="D62" i="1"/>
  <c r="W59" i="2"/>
  <c r="T316" i="1"/>
  <c r="D300" i="1"/>
  <c r="AA433" i="1"/>
  <c r="D525" i="1"/>
  <c r="M231" i="1"/>
  <c r="AA358" i="1"/>
  <c r="Q233" i="1"/>
  <c r="P50" i="2"/>
  <c r="O21" i="1"/>
  <c r="R232" i="1"/>
  <c r="X42" i="2"/>
  <c r="Z296" i="1"/>
  <c r="N313" i="1"/>
  <c r="N452" i="1"/>
  <c r="I282" i="1"/>
  <c r="P213" i="1"/>
  <c r="I80" i="1"/>
  <c r="L11" i="1"/>
  <c r="N177" i="1"/>
  <c r="Q414" i="1"/>
  <c r="R518" i="1"/>
  <c r="T154" i="1"/>
  <c r="I487" i="1"/>
  <c r="M50" i="1"/>
  <c r="D47" i="2"/>
  <c r="Q110" i="1"/>
  <c r="G442" i="1"/>
  <c r="G15" i="2"/>
  <c r="P4" i="1"/>
  <c r="P15" i="2"/>
  <c r="AB253" i="1"/>
  <c r="T462" i="1"/>
  <c r="D85" i="2"/>
  <c r="L231" i="1"/>
  <c r="G303" i="1"/>
  <c r="L71" i="1"/>
  <c r="AG51" i="2"/>
  <c r="S50" i="1"/>
  <c r="W99" i="2"/>
  <c r="F289" i="1"/>
  <c r="Z180" i="1"/>
  <c r="I1" i="2"/>
  <c r="E152" i="1"/>
  <c r="L321" i="1"/>
  <c r="P358" i="1"/>
  <c r="O29" i="1"/>
  <c r="R149" i="1"/>
  <c r="AF75" i="2"/>
  <c r="P488" i="1"/>
  <c r="AA49" i="1"/>
  <c r="N296" i="1"/>
  <c r="O313" i="1"/>
  <c r="N337" i="1"/>
  <c r="F455" i="1"/>
  <c r="P135" i="1"/>
  <c r="T508" i="1"/>
  <c r="N161" i="1"/>
  <c r="Z379" i="1"/>
  <c r="M219" i="1"/>
  <c r="L410" i="1"/>
  <c r="R275" i="1"/>
  <c r="Q190" i="1"/>
  <c r="AA527" i="1"/>
  <c r="E378" i="1"/>
  <c r="I436" i="1"/>
  <c r="N510" i="1"/>
  <c r="I526" i="1"/>
  <c r="D449" i="1"/>
  <c r="E319" i="1"/>
  <c r="S482" i="1"/>
  <c r="Q329" i="1"/>
  <c r="M82" i="1"/>
  <c r="L320" i="1"/>
  <c r="Q215" i="1"/>
  <c r="O110" i="1"/>
  <c r="D177" i="1"/>
  <c r="N402" i="1"/>
  <c r="I428" i="1"/>
  <c r="T42" i="2"/>
  <c r="AA237" i="1"/>
  <c r="J22" i="2"/>
  <c r="AA92" i="1"/>
  <c r="N148" i="1"/>
  <c r="I79" i="1"/>
  <c r="M459" i="1"/>
  <c r="V6" i="2"/>
  <c r="I217" i="1"/>
  <c r="P212" i="1"/>
  <c r="F404" i="1"/>
  <c r="G504" i="1"/>
  <c r="Z509" i="1"/>
  <c r="D64" i="1"/>
  <c r="W78" i="2"/>
  <c r="S327" i="1"/>
  <c r="O52" i="2"/>
  <c r="E490" i="1"/>
  <c r="G405" i="1"/>
  <c r="N302" i="1"/>
  <c r="AB5" i="1"/>
  <c r="AA275" i="1"/>
  <c r="AA216" i="1"/>
  <c r="O12" i="1"/>
  <c r="R483" i="1"/>
  <c r="N364" i="1"/>
  <c r="E63" i="1"/>
  <c r="Z449" i="1"/>
  <c r="F398" i="1"/>
  <c r="D349" i="1"/>
  <c r="G32" i="1"/>
  <c r="M278" i="1"/>
  <c r="O26" i="2"/>
  <c r="AB489" i="1"/>
  <c r="Z25" i="1"/>
  <c r="AA440" i="1"/>
  <c r="D193" i="1"/>
  <c r="AB158" i="1"/>
  <c r="I327" i="1"/>
  <c r="AA319" i="1"/>
  <c r="D16" i="1"/>
  <c r="T342" i="1"/>
  <c r="Z399" i="1"/>
  <c r="AB363" i="1"/>
  <c r="D247" i="1"/>
  <c r="N58" i="1"/>
  <c r="F454" i="1"/>
  <c r="Z330" i="1"/>
  <c r="Z503" i="1"/>
  <c r="AB456" i="1"/>
  <c r="L421" i="1"/>
  <c r="Z504" i="1"/>
  <c r="I406" i="1"/>
  <c r="R274" i="1"/>
  <c r="D373" i="1"/>
  <c r="M34" i="1"/>
  <c r="O72" i="2"/>
  <c r="I399" i="1"/>
  <c r="K1" i="1"/>
  <c r="L456" i="1"/>
  <c r="S108" i="1"/>
  <c r="E233" i="1"/>
  <c r="N449" i="1"/>
  <c r="D438" i="1"/>
  <c r="Q71" i="2"/>
  <c r="Z39" i="1"/>
  <c r="P521" i="1"/>
  <c r="E21" i="1"/>
  <c r="AA460" i="1"/>
  <c r="G406" i="1"/>
  <c r="P12" i="2"/>
  <c r="M222" i="1"/>
  <c r="D318" i="1"/>
  <c r="N1" i="2"/>
  <c r="D474" i="1"/>
  <c r="P250" i="1"/>
  <c r="E145" i="1"/>
  <c r="F143" i="1"/>
  <c r="X157" i="1"/>
  <c r="I424" i="1"/>
  <c r="X98" i="2"/>
  <c r="AB21" i="1"/>
  <c r="N46" i="2"/>
  <c r="T149" i="1"/>
  <c r="G254" i="1"/>
  <c r="J71" i="2"/>
  <c r="T38" i="1"/>
  <c r="T387" i="1"/>
  <c r="N34" i="1"/>
  <c r="M457" i="1"/>
  <c r="P37" i="1"/>
  <c r="D507" i="1"/>
  <c r="Q35" i="2"/>
  <c r="J82" i="2"/>
  <c r="F137" i="1"/>
  <c r="AA83" i="1"/>
  <c r="D10" i="1"/>
  <c r="D25" i="2"/>
  <c r="R14" i="2"/>
  <c r="AB326" i="1"/>
  <c r="F57" i="2"/>
  <c r="M261" i="1"/>
  <c r="S82" i="2"/>
  <c r="L180" i="1"/>
  <c r="G368" i="1"/>
  <c r="D358" i="1"/>
  <c r="G174" i="1"/>
  <c r="P157" i="1"/>
  <c r="F8" i="2"/>
  <c r="S227" i="1"/>
  <c r="Q118" i="1"/>
  <c r="G506" i="1"/>
  <c r="M226" i="1"/>
  <c r="F176" i="1"/>
  <c r="AA505" i="1"/>
  <c r="AA243" i="1"/>
  <c r="I452" i="1"/>
  <c r="G279" i="1"/>
  <c r="L112" i="1"/>
  <c r="R470" i="1"/>
  <c r="D312" i="1"/>
  <c r="AA222" i="1"/>
  <c r="F10" i="2"/>
  <c r="P534" i="1"/>
  <c r="D45" i="1"/>
  <c r="S249" i="1"/>
  <c r="Q152" i="1"/>
  <c r="N89" i="2"/>
  <c r="N240" i="1"/>
  <c r="I169" i="1"/>
  <c r="M466" i="1"/>
  <c r="Z369" i="1"/>
  <c r="AB14" i="1"/>
  <c r="M189" i="1"/>
  <c r="I109" i="1"/>
  <c r="R132" i="1"/>
  <c r="G490" i="1"/>
  <c r="I504" i="1"/>
  <c r="N248" i="1"/>
  <c r="O93" i="2"/>
  <c r="S174" i="1"/>
  <c r="O356" i="1"/>
  <c r="X87" i="2"/>
  <c r="O97" i="1"/>
  <c r="S206" i="1"/>
  <c r="AB264" i="1"/>
  <c r="AB396" i="1"/>
  <c r="AB259" i="1"/>
  <c r="L468" i="1"/>
  <c r="P179" i="1"/>
  <c r="F31" i="1"/>
  <c r="AE36" i="2"/>
  <c r="W44" i="2"/>
  <c r="N338" i="1"/>
  <c r="AA498" i="1"/>
  <c r="P10" i="1"/>
  <c r="AA348" i="1"/>
  <c r="T10" i="1"/>
  <c r="AF83" i="2"/>
  <c r="G88" i="2"/>
  <c r="P514" i="1"/>
  <c r="AA531" i="1"/>
  <c r="R459" i="1"/>
  <c r="F321" i="1"/>
  <c r="Q502" i="1"/>
  <c r="M273" i="1"/>
  <c r="I355" i="1"/>
  <c r="U90" i="2"/>
  <c r="F36" i="1"/>
  <c r="N439" i="1"/>
  <c r="Q164" i="1"/>
  <c r="M509" i="1"/>
  <c r="X41" i="2"/>
  <c r="I463" i="1"/>
  <c r="AF33" i="2"/>
  <c r="F147" i="1"/>
  <c r="N355" i="1"/>
  <c r="R160" i="1"/>
  <c r="R407" i="1"/>
  <c r="Z397" i="1"/>
  <c r="N396" i="1"/>
  <c r="AB157" i="1"/>
  <c r="S35" i="2"/>
  <c r="D39" i="1"/>
  <c r="R78" i="2"/>
  <c r="AB59" i="2"/>
  <c r="M288" i="1"/>
  <c r="D152" i="1"/>
  <c r="P418" i="1"/>
  <c r="AF9" i="2"/>
  <c r="Q4" i="1"/>
  <c r="F413" i="1"/>
  <c r="Z260" i="1"/>
  <c r="M41" i="2"/>
  <c r="M119" i="1"/>
  <c r="M53" i="2"/>
  <c r="M210" i="1"/>
  <c r="E373" i="1"/>
  <c r="M76" i="1"/>
  <c r="M497" i="1"/>
  <c r="V36" i="2"/>
  <c r="E12" i="1"/>
  <c r="S428" i="1"/>
  <c r="A56" i="2"/>
  <c r="R63" i="1"/>
  <c r="AA341" i="1"/>
  <c r="P403" i="1"/>
  <c r="Z340" i="1"/>
  <c r="AA404" i="1"/>
  <c r="F467" i="1"/>
  <c r="D18" i="2"/>
  <c r="R44" i="1"/>
  <c r="Q90" i="1"/>
  <c r="X40" i="2"/>
  <c r="P91" i="1"/>
  <c r="Z241" i="1"/>
  <c r="S204" i="1"/>
  <c r="AA97" i="1"/>
  <c r="F356" i="1"/>
  <c r="Q442" i="1"/>
  <c r="AJ83" i="2"/>
  <c r="X1" i="2"/>
  <c r="U42" i="2"/>
  <c r="I314" i="1"/>
  <c r="I122" i="1"/>
  <c r="L375" i="1"/>
  <c r="I402" i="1"/>
  <c r="Z267" i="1"/>
  <c r="E382" i="1"/>
  <c r="N68" i="2"/>
  <c r="M174" i="1"/>
  <c r="E9" i="1"/>
  <c r="P509" i="1"/>
  <c r="AB238" i="1"/>
  <c r="E39" i="1"/>
  <c r="AB491" i="1"/>
  <c r="E33" i="1"/>
  <c r="AA388" i="1"/>
  <c r="Z343" i="1"/>
  <c r="S175" i="1"/>
  <c r="N484" i="1"/>
  <c r="M202" i="1"/>
  <c r="F40" i="2"/>
  <c r="G84" i="1"/>
  <c r="AA309" i="1"/>
  <c r="Z270" i="1"/>
  <c r="AB161" i="1"/>
  <c r="O16" i="1"/>
  <c r="P50" i="1"/>
  <c r="P328" i="1"/>
  <c r="AA225" i="1"/>
  <c r="P63" i="2"/>
  <c r="P410" i="1"/>
  <c r="P413" i="1"/>
  <c r="T293" i="1"/>
  <c r="G203" i="1"/>
  <c r="M488" i="1"/>
  <c r="P101" i="1"/>
  <c r="D310" i="1"/>
  <c r="G348" i="1"/>
  <c r="D21" i="2"/>
  <c r="M214" i="1"/>
  <c r="Q194" i="1"/>
  <c r="Z198" i="1"/>
  <c r="E459" i="1"/>
  <c r="N301" i="1"/>
  <c r="T468" i="1"/>
  <c r="AA376" i="1"/>
  <c r="G353" i="1"/>
  <c r="R136" i="1"/>
  <c r="T417" i="1"/>
  <c r="G248" i="1"/>
  <c r="P456" i="1"/>
  <c r="D12" i="1"/>
  <c r="E103" i="1"/>
  <c r="R76" i="1"/>
  <c r="G28" i="2"/>
  <c r="X26" i="2"/>
  <c r="T75" i="1"/>
  <c r="L116" i="1"/>
  <c r="M163" i="1"/>
  <c r="R448" i="1"/>
  <c r="N300" i="1"/>
  <c r="AA533" i="1"/>
  <c r="I9" i="1"/>
  <c r="S28" i="1"/>
  <c r="AB113" i="1"/>
  <c r="Q311" i="1"/>
  <c r="M392" i="1"/>
  <c r="O79" i="2"/>
  <c r="R308" i="1"/>
  <c r="O518" i="1"/>
  <c r="R39" i="1"/>
  <c r="Q176" i="1"/>
  <c r="O32" i="2"/>
  <c r="X204" i="1"/>
  <c r="AA44" i="1"/>
  <c r="P36" i="1"/>
  <c r="N150" i="1"/>
  <c r="L109" i="1"/>
  <c r="N368" i="1"/>
  <c r="I479" i="1"/>
  <c r="P392" i="1"/>
  <c r="G172" i="1"/>
  <c r="L32" i="1"/>
  <c r="AB262" i="1"/>
  <c r="D209" i="1"/>
  <c r="AB71" i="1"/>
  <c r="T237" i="1"/>
  <c r="Z403" i="1"/>
  <c r="Q350" i="1"/>
  <c r="M161" i="1"/>
  <c r="D377" i="1"/>
  <c r="F249" i="1"/>
  <c r="F95" i="1"/>
  <c r="T105" i="2"/>
  <c r="AA523" i="1"/>
  <c r="W39" i="2"/>
  <c r="F70" i="2"/>
  <c r="R33" i="1"/>
  <c r="A51" i="2"/>
  <c r="P206" i="1"/>
  <c r="X46" i="2"/>
  <c r="R316" i="1"/>
  <c r="L222" i="1"/>
  <c r="V2" i="2"/>
  <c r="T30" i="2"/>
  <c r="E46" i="2"/>
  <c r="P143" i="1"/>
  <c r="M505" i="1"/>
  <c r="Q498" i="1"/>
  <c r="P307" i="1"/>
  <c r="N9" i="2"/>
  <c r="AA368" i="1"/>
  <c r="N206" i="1"/>
  <c r="D307" i="1"/>
  <c r="P77" i="1"/>
  <c r="M186" i="1"/>
  <c r="R24" i="1"/>
  <c r="D315" i="1"/>
  <c r="T83" i="1"/>
  <c r="E38" i="1"/>
  <c r="Z319" i="1"/>
  <c r="T141" i="1"/>
  <c r="Q20" i="1"/>
  <c r="AB313" i="1"/>
  <c r="L332" i="1"/>
  <c r="P316" i="1"/>
  <c r="E487" i="1"/>
  <c r="E403" i="1"/>
  <c r="N501" i="1"/>
  <c r="E532" i="1"/>
  <c r="I254" i="1"/>
  <c r="S375" i="1"/>
  <c r="N194" i="1"/>
  <c r="N65" i="2"/>
  <c r="L440" i="1"/>
  <c r="D494" i="1"/>
  <c r="G36" i="2"/>
  <c r="W412" i="1"/>
  <c r="L301" i="1"/>
  <c r="G426" i="1"/>
  <c r="M62" i="2"/>
  <c r="AA411" i="1"/>
  <c r="D397" i="1"/>
  <c r="L174" i="1"/>
  <c r="F367" i="1"/>
  <c r="S505" i="1"/>
  <c r="O19" i="1"/>
  <c r="AA60" i="1"/>
  <c r="S77" i="1"/>
  <c r="AB235" i="1"/>
  <c r="M20" i="1"/>
  <c r="D534" i="1"/>
  <c r="T181" i="1"/>
  <c r="E29" i="1"/>
  <c r="S84" i="2"/>
  <c r="Z326" i="1"/>
  <c r="S414" i="1"/>
  <c r="I250" i="1"/>
  <c r="W297" i="1"/>
  <c r="T90" i="1"/>
  <c r="I376" i="1"/>
  <c r="I156" i="1"/>
  <c r="D514" i="1"/>
  <c r="O22" i="1"/>
  <c r="V81" i="2"/>
  <c r="R355" i="1"/>
  <c r="S39" i="2"/>
  <c r="D216" i="1"/>
  <c r="S44" i="1"/>
  <c r="T59" i="2"/>
  <c r="P53" i="2"/>
  <c r="R270" i="1"/>
  <c r="F103" i="1"/>
  <c r="I261" i="1"/>
  <c r="P216" i="1"/>
  <c r="F488" i="1"/>
  <c r="G64" i="1"/>
  <c r="E250" i="1"/>
  <c r="S190" i="1"/>
  <c r="S150" i="1"/>
  <c r="E469" i="1"/>
  <c r="S454" i="1"/>
  <c r="I353" i="1"/>
  <c r="Z488" i="1"/>
  <c r="T135" i="1"/>
  <c r="I302" i="1"/>
  <c r="F512" i="1"/>
  <c r="Z217" i="1"/>
  <c r="AA465" i="1"/>
  <c r="T425" i="1"/>
  <c r="AB248" i="1"/>
  <c r="D327" i="1"/>
  <c r="D61" i="1"/>
  <c r="D26" i="1"/>
  <c r="D33" i="2"/>
  <c r="Q440" i="1"/>
  <c r="M373" i="1"/>
  <c r="T62" i="2"/>
  <c r="M38" i="1"/>
  <c r="F33" i="1"/>
  <c r="V34" i="2"/>
  <c r="Z159" i="1"/>
  <c r="T66" i="2"/>
  <c r="S349" i="1"/>
  <c r="Q411" i="1"/>
  <c r="R68" i="1"/>
  <c r="S177" i="1"/>
  <c r="I48" i="1"/>
  <c r="M239" i="1"/>
  <c r="N519" i="1"/>
  <c r="I499" i="1"/>
  <c r="M224" i="1"/>
  <c r="T63" i="1"/>
  <c r="L193" i="1"/>
  <c r="I510" i="1"/>
  <c r="O3" i="2"/>
  <c r="X18" i="2"/>
  <c r="L242" i="1"/>
  <c r="Q23" i="1"/>
  <c r="R140" i="1"/>
  <c r="AB258" i="1"/>
  <c r="R54" i="2"/>
  <c r="D486" i="1"/>
  <c r="Q278" i="1"/>
  <c r="AB393" i="1"/>
  <c r="AB212" i="1"/>
  <c r="Z455" i="1"/>
  <c r="AA231" i="1"/>
  <c r="T405" i="1"/>
  <c r="F377" i="1"/>
  <c r="AD74" i="2"/>
  <c r="F275" i="1"/>
  <c r="L415" i="1"/>
  <c r="F429" i="1"/>
  <c r="AA156" i="1"/>
  <c r="L147" i="1"/>
  <c r="I277" i="1"/>
  <c r="AA395" i="1"/>
  <c r="S494" i="1"/>
  <c r="E193" i="1"/>
  <c r="Q206" i="1"/>
  <c r="AA162" i="1"/>
  <c r="R300" i="1"/>
  <c r="Z171" i="1"/>
  <c r="F68" i="2"/>
  <c r="F248" i="1"/>
  <c r="O361" i="1"/>
  <c r="R330" i="1"/>
  <c r="AB371" i="1"/>
  <c r="G101" i="2"/>
  <c r="F19" i="1"/>
  <c r="W49" i="2"/>
  <c r="G392" i="1"/>
  <c r="R176" i="1"/>
  <c r="T50" i="1"/>
  <c r="AA398" i="1"/>
  <c r="Q508" i="1"/>
  <c r="D94" i="1"/>
  <c r="AA406" i="1"/>
  <c r="AB484" i="1"/>
  <c r="N71" i="1"/>
  <c r="L239" i="1"/>
  <c r="Z346" i="1"/>
  <c r="P412" i="1"/>
  <c r="N326" i="1"/>
  <c r="P18" i="1"/>
  <c r="R44" i="2"/>
  <c r="I76" i="1"/>
  <c r="M228" i="1"/>
  <c r="W55" i="2"/>
  <c r="J102" i="2"/>
  <c r="F56" i="2"/>
  <c r="F497" i="1"/>
  <c r="R91" i="1"/>
  <c r="P80" i="1"/>
  <c r="R217" i="1"/>
  <c r="M79" i="1"/>
  <c r="L247" i="1"/>
  <c r="D429" i="1"/>
  <c r="O49" i="2"/>
  <c r="L186" i="1"/>
  <c r="G93" i="2"/>
  <c r="I511" i="1"/>
  <c r="E24" i="1"/>
  <c r="F37" i="2"/>
  <c r="G396" i="1"/>
  <c r="L95" i="1"/>
  <c r="V45" i="2"/>
  <c r="I150" i="1"/>
  <c r="W29" i="2"/>
  <c r="F387" i="1"/>
  <c r="L128" i="1"/>
  <c r="S309" i="1"/>
  <c r="G222" i="1"/>
  <c r="Z93" i="1"/>
  <c r="AB464" i="1"/>
  <c r="I232" i="1"/>
  <c r="R428" i="1"/>
  <c r="M46" i="2"/>
  <c r="F460" i="1"/>
  <c r="M244" i="1"/>
  <c r="T261" i="1"/>
  <c r="P298" i="1"/>
  <c r="Z393" i="1"/>
  <c r="S147" i="1"/>
  <c r="D499" i="1"/>
  <c r="R210" i="1"/>
  <c r="P191" i="1"/>
  <c r="Z261" i="1"/>
  <c r="I78" i="1"/>
  <c r="G159" i="1"/>
  <c r="S193" i="1"/>
  <c r="V88" i="2"/>
  <c r="P425" i="1"/>
  <c r="R508" i="1"/>
  <c r="I209" i="1"/>
  <c r="X5" i="2"/>
  <c r="F258" i="1"/>
  <c r="G10" i="1"/>
  <c r="N115" i="1"/>
  <c r="M404" i="1"/>
  <c r="I325" i="1"/>
  <c r="T2" i="2"/>
  <c r="T102" i="2"/>
  <c r="G160" i="1"/>
  <c r="V68" i="2"/>
  <c r="E346" i="1"/>
  <c r="G387" i="1"/>
  <c r="Z386" i="1"/>
  <c r="V107" i="2"/>
  <c r="D293" i="1"/>
  <c r="D532" i="1"/>
  <c r="N53" i="2"/>
  <c r="AD83" i="2"/>
  <c r="P102" i="2"/>
  <c r="AB33" i="1"/>
  <c r="R107" i="1"/>
  <c r="D453" i="1"/>
  <c r="G308" i="1"/>
  <c r="E251" i="1"/>
  <c r="G8" i="2"/>
  <c r="E204" i="1"/>
  <c r="F325" i="1"/>
  <c r="T452" i="1"/>
  <c r="D120" i="1"/>
  <c r="AD11" i="2"/>
  <c r="R98" i="2"/>
  <c r="Q30" i="2"/>
  <c r="O92" i="2"/>
  <c r="D105" i="2"/>
  <c r="I397" i="1"/>
  <c r="N512" i="1"/>
  <c r="AA519" i="1"/>
  <c r="O230" i="1"/>
  <c r="I469" i="1"/>
  <c r="D454" i="1"/>
  <c r="AA360" i="1"/>
  <c r="R226" i="1"/>
  <c r="R25" i="1"/>
  <c r="N11" i="1"/>
  <c r="F227" i="1"/>
  <c r="R190" i="1"/>
  <c r="P58" i="2"/>
  <c r="T346" i="1"/>
  <c r="N306" i="1"/>
  <c r="Z60" i="1"/>
  <c r="O528" i="1"/>
  <c r="T455" i="1"/>
  <c r="O103" i="2"/>
  <c r="E456" i="1"/>
  <c r="AB67" i="1"/>
  <c r="L310" i="1"/>
  <c r="T436" i="1"/>
  <c r="F77" i="1"/>
  <c r="O500" i="1"/>
  <c r="X44" i="2"/>
  <c r="R133" i="1"/>
  <c r="G467" i="1"/>
  <c r="AA71" i="1"/>
  <c r="F378" i="1"/>
  <c r="F239" i="1"/>
  <c r="G307" i="1"/>
  <c r="D378" i="1"/>
  <c r="T344" i="1"/>
  <c r="D44" i="2"/>
  <c r="N310" i="1"/>
  <c r="L61" i="1"/>
  <c r="AA342" i="1"/>
  <c r="R527" i="1"/>
  <c r="I416" i="1"/>
  <c r="L67" i="1"/>
  <c r="O99" i="2"/>
  <c r="AJ44" i="2"/>
  <c r="D31" i="1"/>
  <c r="U41" i="2"/>
  <c r="Q511" i="1"/>
  <c r="F135" i="1"/>
  <c r="AB25" i="1"/>
  <c r="O1" i="2"/>
  <c r="L512" i="1"/>
  <c r="I71" i="1"/>
  <c r="O131" i="1"/>
  <c r="T153" i="1"/>
  <c r="L122" i="1"/>
  <c r="AA33" i="1"/>
  <c r="P79" i="1"/>
  <c r="Q340" i="1"/>
  <c r="L198" i="1"/>
  <c r="T114" i="1"/>
  <c r="A60" i="2"/>
  <c r="N371" i="1"/>
  <c r="F142" i="1"/>
  <c r="A93" i="2"/>
  <c r="F468" i="1"/>
  <c r="Q309" i="1"/>
  <c r="N29" i="1"/>
  <c r="AH36" i="2"/>
  <c r="Q60" i="1"/>
  <c r="D309" i="1"/>
  <c r="T474" i="1"/>
  <c r="I498" i="1"/>
  <c r="G47" i="1"/>
  <c r="R514" i="1"/>
  <c r="E455" i="1"/>
  <c r="W7" i="2"/>
  <c r="W79" i="1"/>
  <c r="P478" i="1"/>
  <c r="R252" i="1"/>
  <c r="V12" i="2"/>
  <c r="D425" i="1"/>
  <c r="L82" i="1"/>
  <c r="Q390" i="1"/>
  <c r="N163" i="1"/>
  <c r="T510" i="1"/>
  <c r="Z372" i="1"/>
  <c r="S9" i="1"/>
  <c r="L47" i="1"/>
  <c r="M422" i="1"/>
  <c r="E288" i="1"/>
  <c r="Q356" i="1"/>
  <c r="S307" i="1"/>
  <c r="G494" i="1"/>
  <c r="M344" i="1"/>
  <c r="F473" i="1"/>
  <c r="D468" i="1"/>
  <c r="P229" i="1"/>
  <c r="O138" i="1"/>
  <c r="T263" i="1"/>
  <c r="M8" i="1"/>
  <c r="T159" i="1"/>
  <c r="H51" i="2"/>
  <c r="P214" i="1"/>
  <c r="D9" i="1"/>
  <c r="X12" i="2"/>
  <c r="Q474" i="1"/>
  <c r="M168" i="1"/>
  <c r="O42" i="2"/>
  <c r="Z193" i="1"/>
  <c r="F140" i="1"/>
  <c r="F108" i="2"/>
  <c r="M346" i="1"/>
  <c r="N14" i="1"/>
  <c r="AB240" i="1"/>
  <c r="Q450" i="1"/>
  <c r="N85" i="2"/>
  <c r="M411" i="1"/>
  <c r="AA112" i="1"/>
  <c r="I374" i="1"/>
  <c r="F199" i="1"/>
  <c r="Z187" i="1"/>
  <c r="D19" i="2"/>
  <c r="E503" i="1"/>
  <c r="S160" i="1"/>
  <c r="U5" i="2"/>
  <c r="F11" i="1"/>
  <c r="E175" i="1"/>
  <c r="R28" i="1"/>
  <c r="S473" i="1"/>
  <c r="U50" i="2"/>
  <c r="S368" i="1"/>
  <c r="F7" i="1"/>
  <c r="R67" i="1"/>
  <c r="T460" i="1"/>
  <c r="L414" i="1"/>
  <c r="Q46" i="1"/>
  <c r="G468" i="1"/>
  <c r="Z475" i="1"/>
  <c r="A41" i="2"/>
  <c r="P132" i="1"/>
  <c r="E398" i="1"/>
  <c r="P496" i="1"/>
  <c r="T255" i="1"/>
  <c r="R303" i="1"/>
  <c r="F296" i="1"/>
  <c r="F42" i="2"/>
  <c r="I415" i="1"/>
  <c r="M160" i="1"/>
  <c r="T40" i="2"/>
  <c r="N370" i="1"/>
  <c r="E340" i="1"/>
  <c r="D218" i="1"/>
  <c r="G80" i="2"/>
  <c r="E481" i="1"/>
  <c r="M100" i="1"/>
  <c r="T102" i="1"/>
  <c r="P71" i="1"/>
  <c r="N3" i="1"/>
  <c r="Q48" i="1"/>
  <c r="D518" i="1"/>
  <c r="G465" i="1"/>
  <c r="I475" i="1"/>
  <c r="F194" i="1"/>
  <c r="M270" i="1"/>
  <c r="R235" i="1"/>
  <c r="P180" i="1"/>
  <c r="R422" i="1"/>
  <c r="F205" i="1"/>
  <c r="E361" i="1"/>
  <c r="Q501" i="1"/>
  <c r="F523" i="1"/>
  <c r="G363" i="1"/>
  <c r="O78" i="2"/>
  <c r="D187" i="1"/>
  <c r="I19" i="1"/>
  <c r="L228" i="1"/>
  <c r="S498" i="1"/>
  <c r="D57" i="1"/>
  <c r="O69" i="2"/>
  <c r="Q97" i="1"/>
  <c r="P258" i="1"/>
  <c r="AB345" i="1"/>
  <c r="D182" i="1"/>
  <c r="S29" i="1"/>
  <c r="T203" i="1"/>
  <c r="X108" i="2"/>
  <c r="AA464" i="1"/>
  <c r="L227" i="1"/>
  <c r="Q230" i="1"/>
  <c r="E492" i="1"/>
  <c r="A96" i="2"/>
  <c r="AJ42" i="2"/>
  <c r="Q394" i="1"/>
  <c r="D68" i="1"/>
  <c r="E13" i="1"/>
  <c r="T441" i="1"/>
  <c r="O36" i="2"/>
  <c r="T407" i="1"/>
  <c r="J46" i="2"/>
  <c r="AF22" i="2"/>
  <c r="D40" i="1"/>
  <c r="I413" i="1"/>
  <c r="M63" i="1"/>
  <c r="F485" i="1"/>
  <c r="P386" i="1"/>
  <c r="A54" i="2"/>
  <c r="G330" i="1"/>
  <c r="G218" i="1"/>
  <c r="AB146" i="1"/>
  <c r="AB261" i="1"/>
  <c r="R325" i="1"/>
  <c r="U20" i="2"/>
  <c r="Z377" i="1"/>
  <c r="V35" i="2"/>
  <c r="Z332" i="1"/>
  <c r="O293" i="1"/>
  <c r="T228" i="1"/>
  <c r="AA345" i="1"/>
  <c r="Q31" i="2"/>
  <c r="Q93" i="1"/>
  <c r="N25" i="2"/>
  <c r="S264" i="1"/>
  <c r="N278" i="1"/>
  <c r="I182" i="1"/>
  <c r="R188" i="1"/>
  <c r="T216" i="1"/>
  <c r="T408" i="1"/>
  <c r="W1" i="1"/>
  <c r="Q63" i="1"/>
  <c r="E109" i="1"/>
  <c r="Q216" i="1"/>
  <c r="J52" i="2"/>
  <c r="Z331" i="1"/>
  <c r="R47" i="1"/>
  <c r="R415" i="1"/>
  <c r="AD28" i="2"/>
  <c r="Q22" i="1"/>
  <c r="U29" i="2"/>
  <c r="M122" i="1"/>
  <c r="F76" i="1"/>
  <c r="G10" i="2"/>
  <c r="Z456" i="1"/>
  <c r="AG72" i="2"/>
  <c r="L253" i="1"/>
  <c r="AD81" i="2"/>
  <c r="Z97" i="1"/>
  <c r="O355" i="1"/>
  <c r="AA344" i="1"/>
  <c r="G367" i="1"/>
  <c r="Q429" i="1"/>
  <c r="Z112" i="1"/>
  <c r="W47" i="2"/>
  <c r="E28" i="1"/>
  <c r="S373" i="1"/>
  <c r="O425" i="1"/>
  <c r="L170" i="1"/>
  <c r="T229" i="1"/>
  <c r="Z485" i="1"/>
  <c r="L5" i="1"/>
  <c r="AB299" i="1"/>
  <c r="P406" i="1"/>
  <c r="AF7" i="2"/>
  <c r="G86" i="2"/>
  <c r="H28" i="2"/>
  <c r="Q234" i="1"/>
  <c r="O377" i="1"/>
  <c r="Z118" i="1"/>
  <c r="T224" i="1"/>
  <c r="Q16" i="1"/>
  <c r="S365" i="1"/>
  <c r="E349" i="1"/>
  <c r="N390" i="1"/>
  <c r="R402" i="1"/>
  <c r="P319" i="1"/>
  <c r="D466" i="1"/>
  <c r="N233" i="1"/>
  <c r="I153" i="1"/>
  <c r="I453" i="1"/>
  <c r="I316" i="1"/>
  <c r="X78" i="2"/>
  <c r="P47" i="2"/>
  <c r="S15" i="2"/>
  <c r="I92" i="1"/>
  <c r="L522" i="1"/>
  <c r="S8" i="1"/>
  <c r="G5" i="1"/>
  <c r="E477" i="1"/>
  <c r="L386" i="1"/>
  <c r="M217" i="1"/>
  <c r="AB448" i="1"/>
  <c r="S457" i="1"/>
  <c r="T483" i="1"/>
  <c r="M18" i="2"/>
  <c r="T492" i="1"/>
  <c r="AB389" i="1"/>
  <c r="D93" i="2"/>
  <c r="I482" i="1"/>
  <c r="S341" i="1"/>
  <c r="AA378" i="1"/>
  <c r="S346" i="1"/>
  <c r="E218" i="1"/>
  <c r="Q364" i="1"/>
  <c r="R427" i="1"/>
  <c r="G404" i="1"/>
  <c r="T51" i="2"/>
  <c r="O70" i="2"/>
  <c r="S240" i="1"/>
  <c r="N66" i="1"/>
  <c r="U156" i="1"/>
  <c r="D332" i="1"/>
  <c r="L395" i="1"/>
  <c r="L364" i="1"/>
  <c r="M155" i="1"/>
  <c r="Z79" i="1"/>
  <c r="S61" i="1"/>
  <c r="L425" i="1"/>
  <c r="V157" i="1"/>
  <c r="T523" i="1"/>
  <c r="F20" i="1"/>
  <c r="Q427" i="1"/>
  <c r="L76" i="1"/>
  <c r="AB83" i="1"/>
  <c r="M506" i="1"/>
  <c r="V61" i="2"/>
  <c r="F456" i="1"/>
  <c r="P98" i="1"/>
  <c r="L19" i="1"/>
  <c r="A26" i="2"/>
  <c r="I190" i="1"/>
  <c r="D484" i="1"/>
  <c r="AB20" i="1"/>
  <c r="D336" i="1"/>
  <c r="T95" i="1"/>
  <c r="AB34" i="1"/>
  <c r="Q135" i="1"/>
  <c r="D33" i="1"/>
  <c r="Z499" i="1"/>
  <c r="C319" i="1"/>
  <c r="E383" i="1"/>
  <c r="S24" i="1"/>
  <c r="R503" i="1"/>
  <c r="M65" i="2"/>
  <c r="L408" i="1"/>
  <c r="A1" i="2"/>
  <c r="N222" i="1"/>
  <c r="G229" i="1"/>
  <c r="Z298" i="1"/>
  <c r="AA161" i="1"/>
  <c r="AB197" i="1"/>
  <c r="Z137" i="1"/>
  <c r="P98" i="2"/>
  <c r="E96" i="2"/>
  <c r="AA432" i="1"/>
  <c r="Z196" i="1"/>
  <c r="AA188" i="1"/>
  <c r="T19" i="2"/>
  <c r="F437" i="1"/>
  <c r="L264" i="1"/>
  <c r="O231" i="1"/>
  <c r="N26" i="1"/>
  <c r="E135" i="1"/>
  <c r="G110" i="2"/>
  <c r="AA62" i="1"/>
  <c r="S262" i="1"/>
  <c r="AA454" i="1"/>
  <c r="Q62" i="1"/>
  <c r="E131" i="1"/>
  <c r="R348" i="1"/>
  <c r="E495" i="1"/>
  <c r="P149" i="1"/>
  <c r="Z257" i="1"/>
  <c r="M397" i="1"/>
  <c r="S154" i="1"/>
  <c r="S448" i="1"/>
  <c r="R59" i="1"/>
  <c r="R12" i="1"/>
  <c r="AA326" i="1"/>
  <c r="S103" i="1"/>
  <c r="P359" i="1"/>
  <c r="T328" i="1"/>
  <c r="Q74" i="1"/>
  <c r="G153" i="1"/>
  <c r="L273" i="1"/>
  <c r="A22" i="2"/>
  <c r="AB90" i="2"/>
  <c r="T497" i="1"/>
  <c r="AB42" i="2"/>
  <c r="E368" i="1"/>
  <c r="AG5" i="2"/>
  <c r="D113" i="1"/>
  <c r="M417" i="1"/>
  <c r="G44" i="2"/>
  <c r="G152" i="1"/>
  <c r="AB303" i="1"/>
  <c r="P462" i="1"/>
  <c r="T352" i="1"/>
  <c r="F65" i="2"/>
  <c r="I360" i="1"/>
  <c r="T49" i="2"/>
  <c r="AB4" i="1"/>
  <c r="Z210" i="1"/>
  <c r="E130" i="1"/>
  <c r="E228" i="1"/>
  <c r="F43" i="2"/>
  <c r="J2" i="2"/>
  <c r="Z108" i="1"/>
  <c r="R141" i="1"/>
  <c r="L429" i="1"/>
  <c r="P86" i="2"/>
  <c r="R128" i="1"/>
  <c r="AB368" i="1"/>
  <c r="AF95" i="2"/>
  <c r="AA372" i="1"/>
  <c r="G361" i="1"/>
  <c r="F44" i="2"/>
  <c r="P494" i="1"/>
  <c r="N312" i="1"/>
  <c r="E356" i="1"/>
  <c r="R153" i="1"/>
  <c r="I490" i="1"/>
  <c r="L382" i="1"/>
  <c r="Z317" i="1"/>
  <c r="AG56" i="2"/>
  <c r="T415" i="1"/>
  <c r="X9" i="2"/>
  <c r="T90" i="2"/>
  <c r="Q75" i="1"/>
  <c r="G358" i="1"/>
  <c r="P414" i="1"/>
  <c r="AB296" i="1"/>
  <c r="N169" i="1"/>
  <c r="W86" i="2"/>
  <c r="D244" i="1"/>
  <c r="L172" i="1"/>
  <c r="A7" i="2"/>
  <c r="P308" i="1"/>
  <c r="L142" i="1"/>
  <c r="E207" i="1"/>
  <c r="AB163" i="1"/>
  <c r="AB24" i="1"/>
  <c r="G16" i="1"/>
  <c r="P31" i="1"/>
  <c r="S68" i="2"/>
  <c r="G209" i="1"/>
  <c r="Q182" i="1"/>
  <c r="R22" i="1"/>
  <c r="AB78" i="1"/>
  <c r="G179" i="1"/>
  <c r="N157" i="1"/>
  <c r="P351" i="1"/>
  <c r="F96" i="2"/>
  <c r="F261" i="1"/>
  <c r="T521" i="1"/>
  <c r="J100" i="2"/>
  <c r="N113" i="1"/>
  <c r="G49" i="1"/>
  <c r="O336" i="1"/>
  <c r="AD88" i="2"/>
  <c r="X65" i="2"/>
  <c r="AA172" i="1"/>
  <c r="D289" i="1"/>
  <c r="F500" i="1"/>
  <c r="M362" i="1"/>
  <c r="Q116" i="1"/>
  <c r="AA139" i="1"/>
  <c r="G489" i="1"/>
  <c r="U3" i="2"/>
  <c r="N526" i="1"/>
  <c r="F534" i="1"/>
  <c r="R34" i="2"/>
  <c r="I395" i="1"/>
  <c r="L148" i="1"/>
  <c r="B1" i="2"/>
  <c r="P337" i="1"/>
  <c r="I528" i="1"/>
  <c r="Q293" i="1"/>
  <c r="L366" i="1"/>
  <c r="E231" i="1"/>
  <c r="P459" i="1"/>
  <c r="F360" i="1"/>
  <c r="S308" i="1"/>
  <c r="G415" i="1"/>
  <c r="L206" i="1"/>
  <c r="R221" i="1"/>
  <c r="D150" i="1"/>
  <c r="X379" i="1"/>
  <c r="I460" i="1"/>
  <c r="X333" i="1"/>
  <c r="Q247" i="1"/>
  <c r="M349" i="1"/>
  <c r="R225" i="1"/>
  <c r="T16" i="2"/>
  <c r="N228" i="1"/>
  <c r="I339" i="1"/>
  <c r="N297" i="1"/>
  <c r="M74" i="1"/>
  <c r="T47" i="1"/>
  <c r="S253" i="1"/>
  <c r="S42" i="2"/>
  <c r="AA462" i="1"/>
  <c r="H21" i="2"/>
  <c r="M208" i="1"/>
  <c r="T501" i="1"/>
  <c r="N16" i="2"/>
  <c r="Z139" i="1"/>
  <c r="AB341" i="1"/>
  <c r="I25" i="1"/>
  <c r="D354" i="1"/>
  <c r="W31" i="2"/>
  <c r="M449" i="1"/>
  <c r="P411" i="1"/>
  <c r="D70" i="2"/>
  <c r="I381" i="1"/>
  <c r="N492" i="1"/>
  <c r="I532" i="1"/>
  <c r="G255" i="1"/>
  <c r="F193" i="1"/>
  <c r="N24" i="1"/>
  <c r="Q100" i="1"/>
  <c r="I203" i="1"/>
  <c r="T84" i="2"/>
  <c r="AA158" i="1"/>
  <c r="T43" i="1"/>
  <c r="I238" i="1"/>
  <c r="J97" i="2"/>
  <c r="E48" i="2"/>
  <c r="T494" i="1"/>
  <c r="AA397" i="1"/>
  <c r="L498" i="1"/>
  <c r="F109" i="2"/>
  <c r="T23" i="2"/>
  <c r="AE93" i="2"/>
  <c r="F366" i="1"/>
  <c r="N433" i="1"/>
  <c r="M402" i="1"/>
  <c r="X53" i="2"/>
  <c r="L404" i="1"/>
  <c r="N482" i="1"/>
  <c r="D74" i="1"/>
  <c r="N255" i="1"/>
  <c r="N8" i="1"/>
  <c r="E34" i="1"/>
  <c r="D22" i="2"/>
  <c r="AA199" i="1"/>
  <c r="M31" i="1"/>
  <c r="AA274" i="1"/>
  <c r="Q308" i="1"/>
  <c r="Q326" i="1"/>
  <c r="F63" i="2"/>
  <c r="D217" i="1"/>
  <c r="Z153" i="1"/>
  <c r="L324" i="1"/>
  <c r="L454" i="1"/>
  <c r="D155" i="1"/>
  <c r="G383" i="1"/>
  <c r="L216" i="1"/>
  <c r="N461" i="1"/>
  <c r="G207" i="1"/>
  <c r="E436" i="1"/>
  <c r="F250" i="1"/>
  <c r="Z18" i="1"/>
  <c r="A31" i="2"/>
  <c r="AA381" i="1"/>
  <c r="AA361" i="1"/>
  <c r="P304" i="1"/>
  <c r="T313" i="1"/>
  <c r="O5" i="2"/>
  <c r="N260" i="1"/>
  <c r="Z232" i="1"/>
  <c r="AJ53" i="2"/>
  <c r="Z195" i="1"/>
  <c r="U37" i="2"/>
  <c r="X43" i="2"/>
  <c r="D97" i="1"/>
  <c r="S21" i="1"/>
  <c r="F262" i="1"/>
  <c r="Q337" i="1"/>
  <c r="D77" i="1"/>
  <c r="Z262" i="1"/>
  <c r="G199" i="1"/>
  <c r="AA306" i="1"/>
  <c r="Q58" i="2"/>
  <c r="G359" i="1"/>
  <c r="F402" i="1"/>
  <c r="T411" i="1"/>
  <c r="E410" i="1"/>
  <c r="M80" i="2"/>
  <c r="Z484" i="1"/>
  <c r="M235" i="1"/>
  <c r="Z356" i="1"/>
  <c r="AH9" i="2"/>
  <c r="S426" i="1"/>
  <c r="AG97" i="2"/>
  <c r="Z400" i="1"/>
  <c r="W112" i="2"/>
  <c r="U44" i="2"/>
  <c r="M520" i="1"/>
  <c r="R249" i="1"/>
  <c r="G123" i="1"/>
  <c r="G79" i="2"/>
  <c r="F283" i="1"/>
  <c r="R479" i="1"/>
  <c r="E212" i="1"/>
  <c r="H96" i="2"/>
  <c r="L238" i="1"/>
  <c r="M289" i="1"/>
  <c r="L90" i="1"/>
  <c r="T213" i="1"/>
  <c r="L307" i="1"/>
  <c r="Q375" i="1"/>
  <c r="E247" i="1"/>
  <c r="I354" i="1"/>
  <c r="D473" i="1"/>
  <c r="S119" i="1"/>
  <c r="P299" i="1"/>
  <c r="T428" i="1"/>
  <c r="P54" i="2"/>
  <c r="T252" i="1"/>
  <c r="P510" i="1"/>
  <c r="D90" i="1"/>
  <c r="R349" i="1"/>
  <c r="I531" i="1"/>
  <c r="Z40" i="1"/>
  <c r="X76" i="2"/>
  <c r="L298" i="1"/>
  <c r="S417" i="1"/>
  <c r="L179" i="1"/>
  <c r="P436" i="1"/>
  <c r="L101" i="1"/>
  <c r="D495" i="1"/>
  <c r="S36" i="1"/>
  <c r="T140" i="1"/>
  <c r="I283" i="1"/>
  <c r="Z178" i="1"/>
  <c r="D98" i="1"/>
  <c r="I15" i="1"/>
  <c r="Q392" i="1"/>
  <c r="T120" i="1"/>
  <c r="P495" i="1"/>
  <c r="N493" i="1"/>
  <c r="Q148" i="1"/>
  <c r="T356" i="1"/>
  <c r="T21" i="2"/>
  <c r="M233" i="1"/>
  <c r="M360" i="1"/>
  <c r="T91" i="1"/>
  <c r="A110" i="2"/>
  <c r="Z295" i="1"/>
  <c r="Z4" i="1"/>
  <c r="AB337" i="1"/>
  <c r="Q358" i="1"/>
  <c r="Q363" i="1"/>
  <c r="E257" i="1"/>
  <c r="P209" i="1"/>
  <c r="M350" i="1"/>
  <c r="P49" i="1"/>
  <c r="AB32" i="1"/>
  <c r="E62" i="2"/>
  <c r="Q114" i="1"/>
  <c r="AB493" i="1"/>
  <c r="S452" i="1"/>
  <c r="N31" i="1"/>
  <c r="G460" i="1"/>
  <c r="F478" i="1"/>
  <c r="G196" i="1"/>
  <c r="F80" i="1"/>
  <c r="Q209" i="1"/>
  <c r="M478" i="1"/>
  <c r="E91" i="1"/>
  <c r="P433" i="1"/>
  <c r="N32" i="1"/>
  <c r="F318" i="1"/>
  <c r="E67" i="2"/>
  <c r="O416" i="1"/>
  <c r="G449" i="1"/>
  <c r="P338" i="1"/>
  <c r="M251" i="1"/>
  <c r="Z463" i="1"/>
  <c r="E158" i="1"/>
  <c r="D20" i="2"/>
  <c r="D311" i="1"/>
  <c r="M304" i="1"/>
  <c r="AA227" i="1"/>
  <c r="M336" i="1"/>
  <c r="S110" i="2"/>
  <c r="D483" i="1"/>
  <c r="R318" i="1"/>
  <c r="R425" i="1"/>
  <c r="S389" i="1"/>
  <c r="M33" i="1"/>
  <c r="L83" i="1"/>
  <c r="E281" i="1"/>
  <c r="I173" i="1"/>
  <c r="AD4" i="2"/>
  <c r="N315" i="1"/>
  <c r="Q510" i="1"/>
  <c r="G94" i="1"/>
  <c r="A3" i="2"/>
  <c r="V10" i="2"/>
  <c r="Q229" i="1"/>
  <c r="Z315" i="1"/>
  <c r="L96" i="1"/>
  <c r="N16" i="1"/>
  <c r="AA508" i="1"/>
  <c r="D142" i="1"/>
  <c r="F302" i="1"/>
  <c r="AA173" i="1"/>
  <c r="T82" i="1"/>
  <c r="G346" i="1"/>
  <c r="P357" i="1"/>
  <c r="R322" i="1"/>
  <c r="W500" i="1"/>
  <c r="R123" i="1"/>
  <c r="V87" i="2"/>
  <c r="T134" i="1"/>
  <c r="F399" i="1"/>
  <c r="G186" i="1"/>
  <c r="G531" i="1"/>
  <c r="G21" i="1"/>
  <c r="AA76" i="1"/>
  <c r="AA339" i="1"/>
  <c r="O502" i="1"/>
  <c r="L221" i="1"/>
  <c r="N235" i="1"/>
  <c r="Z355" i="1"/>
  <c r="S34" i="1"/>
  <c r="R440" i="1"/>
  <c r="X89" i="2"/>
  <c r="M468" i="1"/>
  <c r="M376" i="1"/>
  <c r="D197" i="1"/>
  <c r="G510" i="1"/>
  <c r="P103" i="1"/>
  <c r="T93" i="2"/>
  <c r="T395" i="1"/>
  <c r="N378" i="1"/>
  <c r="E55" i="2"/>
  <c r="G194" i="1"/>
  <c r="Q103" i="1"/>
  <c r="M406" i="1"/>
  <c r="D488" i="1"/>
  <c r="D249" i="1"/>
  <c r="J70" i="2"/>
  <c r="AA6" i="1"/>
  <c r="E173" i="1"/>
  <c r="L252" i="1"/>
  <c r="G338" i="1"/>
  <c r="M49" i="1"/>
  <c r="AH83" i="2"/>
  <c r="T454" i="1"/>
  <c r="P141" i="1"/>
  <c r="M100" i="2"/>
  <c r="E329" i="1"/>
  <c r="E426" i="1"/>
  <c r="S73" i="1"/>
  <c r="S404" i="1"/>
  <c r="O362" i="1"/>
  <c r="F370" i="1"/>
  <c r="R314" i="1"/>
  <c r="AD69" i="2"/>
  <c r="S52" i="2"/>
  <c r="D420" i="1"/>
  <c r="Q322" i="1"/>
  <c r="E365" i="1"/>
  <c r="S71" i="2"/>
  <c r="G528" i="1"/>
  <c r="R10" i="1"/>
  <c r="E308" i="1"/>
  <c r="S45" i="1"/>
  <c r="I364" i="1"/>
  <c r="I319" i="1"/>
  <c r="D235" i="1"/>
  <c r="S3" i="2"/>
  <c r="F329" i="1"/>
  <c r="I392" i="1"/>
  <c r="T146" i="1"/>
  <c r="L141" i="1"/>
  <c r="S295" i="1"/>
  <c r="X95" i="2"/>
  <c r="S26" i="2"/>
  <c r="AB90" i="1"/>
  <c r="F95" i="2"/>
  <c r="P99" i="1"/>
  <c r="M328" i="1"/>
  <c r="N374" i="1"/>
  <c r="N5" i="2"/>
  <c r="AH55" i="2"/>
  <c r="AD64" i="2"/>
  <c r="E45" i="2"/>
  <c r="S278" i="1"/>
  <c r="P93" i="1"/>
  <c r="Q466" i="1"/>
  <c r="AB486" i="1"/>
  <c r="P527" i="1"/>
  <c r="S229" i="1"/>
  <c r="G247" i="1"/>
  <c r="I501" i="1"/>
  <c r="M218" i="1"/>
  <c r="E351" i="1"/>
  <c r="S397" i="1"/>
  <c r="F406" i="1"/>
  <c r="AB181" i="1"/>
  <c r="Q531" i="1"/>
  <c r="F39" i="1"/>
  <c r="E94" i="1"/>
  <c r="E483" i="1"/>
  <c r="E497" i="1"/>
  <c r="P238" i="1"/>
  <c r="AF97" i="2"/>
  <c r="L21" i="1"/>
  <c r="M329" i="1"/>
  <c r="A69" i="2"/>
  <c r="I313" i="1"/>
  <c r="N241" i="1"/>
  <c r="AE78" i="2"/>
  <c r="R510" i="1"/>
  <c r="R212" i="1"/>
  <c r="R486" i="1"/>
  <c r="AB12" i="1"/>
  <c r="P29" i="2"/>
  <c r="Z168" i="1"/>
  <c r="T217" i="1"/>
  <c r="J87" i="2"/>
  <c r="O17" i="1"/>
  <c r="L442" i="1"/>
  <c r="R481" i="1"/>
  <c r="D316" i="1"/>
  <c r="Q61" i="1"/>
  <c r="AA48" i="1"/>
  <c r="D147" i="1"/>
  <c r="T522" i="1"/>
  <c r="O374" i="1"/>
  <c r="P297" i="1"/>
  <c r="D76" i="1"/>
  <c r="M157" i="1"/>
  <c r="S99" i="2"/>
  <c r="G262" i="1"/>
  <c r="Q378" i="1"/>
  <c r="S376" i="1"/>
  <c r="R457" i="1"/>
  <c r="S199" i="1"/>
  <c r="M421" i="1"/>
  <c r="G85" i="1"/>
  <c r="A29" i="2"/>
  <c r="E389" i="1"/>
  <c r="T457" i="1"/>
  <c r="P437" i="1"/>
  <c r="E189" i="1"/>
  <c r="E293" i="1"/>
  <c r="M185" i="1"/>
  <c r="N242" i="1"/>
  <c r="Q522" i="1"/>
  <c r="R230" i="1"/>
  <c r="T189" i="1"/>
  <c r="R332" i="1"/>
  <c r="L103" i="1"/>
  <c r="D407" i="1"/>
  <c r="Q499" i="1"/>
  <c r="R397" i="1"/>
  <c r="R378" i="1"/>
  <c r="AA450" i="1"/>
  <c r="L303" i="1"/>
  <c r="G275" i="1"/>
  <c r="S169" i="1"/>
  <c r="R37" i="1"/>
  <c r="S492" i="1"/>
  <c r="T272" i="1"/>
  <c r="Q413" i="1"/>
  <c r="Q312" i="1"/>
  <c r="M342" i="1"/>
  <c r="F339" i="1"/>
  <c r="AB122" i="1"/>
  <c r="R159" i="1"/>
  <c r="N436" i="1"/>
  <c r="D15" i="2"/>
  <c r="O422" i="1"/>
  <c r="AF76" i="2"/>
  <c r="N22" i="1"/>
  <c r="M374" i="1"/>
  <c r="S336" i="1"/>
  <c r="F144" i="1"/>
  <c r="Q324" i="1"/>
  <c r="AA264" i="1"/>
  <c r="AA151" i="1"/>
  <c r="E284" i="1"/>
  <c r="S317" i="1"/>
  <c r="AB244" i="1"/>
  <c r="AB31" i="2"/>
  <c r="W54" i="2"/>
  <c r="M414" i="1"/>
  <c r="F54" i="2"/>
  <c r="E182" i="1"/>
  <c r="AB96" i="1"/>
  <c r="D320" i="1"/>
  <c r="G524" i="1"/>
  <c r="E328" i="1"/>
  <c r="S449" i="1"/>
  <c r="Z388" i="1"/>
  <c r="U38" i="2"/>
  <c r="AG29" i="2"/>
  <c r="P139" i="1"/>
  <c r="AJ43" i="2"/>
  <c r="R29" i="2"/>
  <c r="Q35" i="1"/>
  <c r="Q193" i="1"/>
  <c r="AA98" i="1"/>
  <c r="AD89" i="2"/>
  <c r="L10" i="1"/>
  <c r="T10" i="2"/>
  <c r="AB17" i="1"/>
  <c r="L26" i="1"/>
  <c r="Q112" i="1"/>
  <c r="P424" i="1"/>
  <c r="N330" i="1"/>
  <c r="N483" i="1"/>
  <c r="F149" i="1"/>
  <c r="AB307" i="1"/>
  <c r="L181" i="1"/>
  <c r="O376" i="1"/>
  <c r="G411" i="1"/>
  <c r="G251" i="1"/>
  <c r="N108" i="2"/>
  <c r="N135" i="1"/>
  <c r="M482" i="1"/>
  <c r="T29" i="1"/>
  <c r="E12" i="2"/>
  <c r="L145" i="1"/>
  <c r="G475" i="1"/>
  <c r="G200" i="1"/>
  <c r="S343" i="1"/>
  <c r="G502" i="1"/>
  <c r="AA458" i="1"/>
  <c r="AB44" i="1"/>
  <c r="G83" i="1"/>
  <c r="J68" i="2"/>
  <c r="T71" i="2"/>
  <c r="D339" i="1"/>
  <c r="Z74" i="1"/>
  <c r="I464" i="1"/>
  <c r="AA399" i="1"/>
  <c r="AA67" i="1"/>
  <c r="AB168" i="1"/>
  <c r="AB273" i="1"/>
  <c r="T465" i="1"/>
  <c r="Z314" i="1"/>
  <c r="E18" i="1"/>
  <c r="Z181" i="1"/>
  <c r="D1" i="1"/>
  <c r="N139" i="1"/>
  <c r="AB247" i="1"/>
  <c r="D282" i="1"/>
  <c r="P301" i="1"/>
  <c r="D39" i="2"/>
  <c r="AB254" i="1"/>
  <c r="AB321" i="1"/>
  <c r="Z252" i="1"/>
  <c r="N503" i="1"/>
  <c r="F119" i="1"/>
  <c r="L452" i="1"/>
  <c r="I67" i="1"/>
  <c r="N181" i="1"/>
  <c r="I393" i="1"/>
  <c r="N212" i="1"/>
  <c r="G161" i="1"/>
  <c r="I66" i="1"/>
  <c r="AD35" i="2"/>
  <c r="S178" i="1"/>
  <c r="M272" i="1"/>
  <c r="S109" i="1"/>
  <c r="O196" i="1"/>
  <c r="AB16" i="1"/>
  <c r="S130" i="1"/>
  <c r="A91" i="2"/>
  <c r="U31" i="2"/>
  <c r="S25" i="2"/>
  <c r="L417" i="1"/>
  <c r="L38" i="1"/>
  <c r="Z467" i="1"/>
  <c r="N413" i="1"/>
  <c r="S424" i="1"/>
  <c r="L27" i="1"/>
  <c r="I219" i="1"/>
  <c r="N490" i="1"/>
  <c r="E57" i="2"/>
  <c r="W72" i="2"/>
  <c r="N96" i="1"/>
  <c r="S425" i="1"/>
  <c r="S502" i="1"/>
  <c r="O507" i="1"/>
  <c r="E333" i="1"/>
  <c r="AA355" i="1"/>
  <c r="M440" i="1"/>
  <c r="S304" i="1"/>
  <c r="R19" i="1"/>
  <c r="D440" i="1"/>
  <c r="J98" i="2"/>
  <c r="S171" i="1"/>
  <c r="W32" i="2"/>
  <c r="P190" i="1"/>
  <c r="N215" i="1"/>
  <c r="E460" i="1"/>
  <c r="Z152" i="1"/>
  <c r="T371" i="1"/>
  <c r="U153" i="1"/>
  <c r="G509" i="1"/>
  <c r="G269" i="1"/>
  <c r="Z45" i="1"/>
  <c r="AA502" i="1"/>
  <c r="AH31" i="2"/>
  <c r="AB356" i="1"/>
  <c r="G331" i="1"/>
  <c r="P346" i="1"/>
  <c r="H83" i="2"/>
  <c r="L257" i="1"/>
  <c r="T289" i="1"/>
  <c r="AB137" i="1"/>
  <c r="L533" i="1"/>
  <c r="E432" i="1"/>
  <c r="P233" i="1"/>
  <c r="X377" i="1"/>
  <c r="T37" i="2"/>
  <c r="A101" i="2"/>
  <c r="N179" i="1"/>
  <c r="E527" i="1"/>
  <c r="N399" i="1"/>
  <c r="X79" i="2"/>
  <c r="L157" i="1"/>
  <c r="E23" i="2"/>
  <c r="S207" i="1"/>
  <c r="Z345" i="1"/>
  <c r="N523" i="1"/>
  <c r="R110" i="1"/>
  <c r="Z147" i="1"/>
  <c r="G432" i="1"/>
  <c r="F14" i="1"/>
  <c r="S47" i="1"/>
  <c r="F30" i="1"/>
  <c r="AA195" i="1"/>
  <c r="Q154" i="1"/>
  <c r="L72" i="1"/>
  <c r="G133" i="1"/>
  <c r="R533" i="1"/>
  <c r="S39" i="1"/>
  <c r="E139" i="1"/>
  <c r="T113" i="1"/>
  <c r="N137" i="1"/>
  <c r="D512" i="1"/>
  <c r="M377" i="1"/>
  <c r="E486" i="1"/>
  <c r="O172" i="1"/>
  <c r="F98" i="2"/>
  <c r="D199" i="1"/>
  <c r="AB189" i="1"/>
  <c r="S136" i="1"/>
  <c r="M178" i="1"/>
  <c r="P460" i="1"/>
  <c r="Q393" i="1"/>
  <c r="T324" i="1"/>
  <c r="I256" i="1"/>
  <c r="AB251" i="1"/>
  <c r="S200" i="1"/>
  <c r="Q212" i="1"/>
  <c r="AA233" i="1"/>
  <c r="Q341" i="1"/>
  <c r="Z208" i="1"/>
  <c r="I18" i="1"/>
  <c r="AA481" i="1"/>
  <c r="L439" i="1"/>
  <c r="L209" i="1"/>
  <c r="O43" i="2"/>
  <c r="T34" i="2"/>
  <c r="M154" i="1"/>
  <c r="G6" i="2"/>
  <c r="S67" i="2"/>
  <c r="Z185" i="1"/>
  <c r="M17" i="1"/>
  <c r="AB44" i="2"/>
  <c r="G350" i="1"/>
  <c r="P175" i="1"/>
  <c r="R32" i="1"/>
  <c r="M477" i="1"/>
  <c r="P329" i="1"/>
  <c r="R154" i="1"/>
  <c r="G450" i="1"/>
  <c r="R429" i="1"/>
  <c r="R269" i="1"/>
  <c r="U77" i="2"/>
  <c r="P393" i="1"/>
  <c r="I450" i="1"/>
  <c r="Z228" i="1"/>
  <c r="L463" i="1"/>
  <c r="T456" i="1"/>
  <c r="S46" i="1"/>
  <c r="R509" i="1"/>
  <c r="Q426" i="1"/>
  <c r="AA150" i="1"/>
  <c r="AB499" i="1"/>
  <c r="G187" i="1"/>
  <c r="A47" i="2"/>
  <c r="AB61" i="2"/>
  <c r="L107" i="1"/>
  <c r="E448" i="1"/>
  <c r="L500" i="1"/>
  <c r="Z189" i="1"/>
  <c r="L519" i="1"/>
  <c r="E498" i="1"/>
  <c r="G217" i="1"/>
  <c r="S534" i="1"/>
  <c r="L478" i="1"/>
  <c r="I485" i="1"/>
  <c r="N289" i="1"/>
  <c r="S355" i="1"/>
  <c r="AB348" i="1"/>
  <c r="N314" i="1"/>
  <c r="L85" i="1"/>
  <c r="P485" i="1"/>
  <c r="W514" i="1"/>
  <c r="Q178" i="1"/>
  <c r="G64" i="2"/>
  <c r="N40" i="1"/>
  <c r="AA84" i="1"/>
  <c r="M38" i="2"/>
  <c r="P76" i="1"/>
  <c r="T374" i="1"/>
  <c r="D491" i="1"/>
  <c r="M131" i="1"/>
  <c r="G215" i="1"/>
  <c r="I227" i="1"/>
  <c r="L37" i="1"/>
  <c r="H26" i="2"/>
  <c r="M175" i="1"/>
  <c r="H14" i="2"/>
  <c r="L235" i="1"/>
  <c r="T201" i="1"/>
  <c r="D522" i="1"/>
  <c r="F376" i="1"/>
  <c r="F415" i="1"/>
  <c r="R498" i="1"/>
  <c r="N269" i="1"/>
  <c r="R313" i="1"/>
  <c r="R96" i="1"/>
  <c r="D404" i="1"/>
  <c r="M67" i="1"/>
  <c r="R43" i="2"/>
  <c r="D43" i="2"/>
  <c r="L322" i="1"/>
  <c r="X24" i="2"/>
  <c r="W101" i="2"/>
  <c r="AJ96" i="2"/>
  <c r="AA486" i="1"/>
  <c r="D185" i="1"/>
  <c r="M117" i="1"/>
  <c r="R372" i="1"/>
  <c r="I28" i="1"/>
  <c r="AB233" i="1"/>
  <c r="T416" i="1"/>
  <c r="D414" i="1"/>
  <c r="M93" i="2"/>
  <c r="T303" i="1"/>
  <c r="T54" i="2"/>
  <c r="T230" i="1"/>
  <c r="Z496" i="1"/>
  <c r="T1" i="1"/>
  <c r="J17" i="2"/>
  <c r="G201" i="1"/>
  <c r="E324" i="1"/>
  <c r="S18" i="1"/>
  <c r="G118" i="1"/>
  <c r="G473" i="1"/>
  <c r="P181" i="1"/>
  <c r="AD50" i="2"/>
  <c r="M91" i="1"/>
  <c r="AB388" i="1"/>
  <c r="Q441" i="1"/>
  <c r="D436" i="1"/>
  <c r="F416" i="1"/>
  <c r="H11" i="2"/>
  <c r="G41" i="2"/>
  <c r="F82" i="1"/>
  <c r="P138" i="1"/>
  <c r="AH93" i="2"/>
  <c r="R143" i="1"/>
  <c r="O452" i="1"/>
  <c r="AB64" i="1"/>
  <c r="AA26" i="1"/>
  <c r="R257" i="1"/>
  <c r="N336" i="1"/>
  <c r="G4" i="2"/>
  <c r="M521" i="1"/>
  <c r="O318" i="1"/>
  <c r="C411" i="1"/>
  <c r="T145" i="1"/>
  <c r="N320" i="1"/>
  <c r="L312" i="1"/>
  <c r="R317" i="1"/>
  <c r="E132" i="1"/>
  <c r="L185" i="1"/>
  <c r="L407" i="1"/>
  <c r="Z98" i="1"/>
  <c r="P474" i="1"/>
  <c r="O64" i="1"/>
  <c r="G99" i="1"/>
  <c r="M153" i="1"/>
  <c r="P24" i="2"/>
  <c r="X225" i="1"/>
  <c r="F169" i="1"/>
  <c r="AB274" i="1"/>
  <c r="D437" i="1"/>
  <c r="L422" i="1"/>
  <c r="F331" i="1"/>
  <c r="E71" i="2"/>
  <c r="D513" i="1"/>
  <c r="R73" i="1"/>
  <c r="I213" i="1"/>
  <c r="N218" i="1"/>
  <c r="E10" i="2"/>
  <c r="G293" i="1"/>
  <c r="N123" i="1"/>
  <c r="G92" i="1"/>
  <c r="L492" i="1"/>
  <c r="I225" i="1"/>
  <c r="A35" i="2"/>
  <c r="G376" i="1"/>
  <c r="O150" i="1"/>
  <c r="S176" i="1"/>
  <c r="N180" i="1"/>
  <c r="R96" i="2"/>
  <c r="S11" i="1"/>
  <c r="O13" i="2"/>
  <c r="R83" i="1"/>
  <c r="C382" i="1"/>
  <c r="S453" i="1"/>
  <c r="C60" i="1"/>
  <c r="R155" i="1"/>
  <c r="F273" i="1"/>
  <c r="Q349" i="1"/>
  <c r="AB77" i="1"/>
  <c r="L43" i="1"/>
  <c r="F461" i="1"/>
  <c r="U26" i="2"/>
  <c r="M14" i="1"/>
  <c r="AB454" i="1"/>
  <c r="M23" i="1"/>
  <c r="W91" i="2"/>
  <c r="R74" i="1"/>
  <c r="Z13" i="1"/>
  <c r="L135" i="1"/>
  <c r="AA347" i="1"/>
  <c r="R345" i="1"/>
  <c r="T332" i="1"/>
  <c r="AA259" i="1"/>
  <c r="AA258" i="1"/>
  <c r="I344" i="1"/>
  <c r="P64" i="1"/>
  <c r="G24" i="1"/>
  <c r="M130" i="1"/>
  <c r="I488" i="1"/>
  <c r="F526" i="1"/>
  <c r="R112" i="1"/>
  <c r="J55" i="2"/>
  <c r="D5" i="1"/>
  <c r="O327" i="1"/>
  <c r="S518" i="1"/>
  <c r="G18" i="1"/>
  <c r="E523" i="1"/>
  <c r="Z313" i="1"/>
  <c r="G513" i="1"/>
  <c r="S331" i="1"/>
  <c r="AJ54" i="2"/>
  <c r="X243" i="1"/>
  <c r="E270" i="1"/>
  <c r="F79" i="2"/>
  <c r="L223" i="1"/>
  <c r="Q98" i="1"/>
  <c r="AA308" i="1"/>
  <c r="R238" i="1"/>
  <c r="AB203" i="1"/>
  <c r="M458" i="1"/>
  <c r="M463" i="1"/>
  <c r="R411" i="1"/>
  <c r="D59" i="2"/>
  <c r="W328" i="1"/>
  <c r="A55" i="2"/>
  <c r="N78" i="1"/>
  <c r="M355" i="1"/>
  <c r="L162" i="1"/>
  <c r="I425" i="1"/>
  <c r="L153" i="1"/>
  <c r="N160" i="1"/>
  <c r="Z312" i="1"/>
  <c r="F17" i="2"/>
  <c r="I258" i="1"/>
  <c r="R528" i="1"/>
  <c r="A45" i="2"/>
  <c r="M481" i="1"/>
  <c r="W426" i="1"/>
  <c r="N74" i="2"/>
  <c r="L393" i="1"/>
  <c r="Q31" i="1"/>
  <c r="R477" i="1"/>
  <c r="M433" i="1"/>
  <c r="P5" i="1"/>
  <c r="M351" i="1"/>
  <c r="L473" i="1"/>
  <c r="M12" i="1"/>
  <c r="R437" i="1"/>
  <c r="Z95" i="1"/>
  <c r="G147" i="1"/>
  <c r="M94" i="1"/>
  <c r="G339" i="1"/>
  <c r="I477" i="1"/>
  <c r="H19" i="2"/>
  <c r="F233" i="1"/>
  <c r="G372" i="1"/>
  <c r="M252" i="1"/>
  <c r="O337" i="1"/>
  <c r="W36" i="2"/>
  <c r="A62" i="2"/>
  <c r="E473" i="1"/>
  <c r="E52" i="2"/>
  <c r="H80" i="2"/>
  <c r="M143" i="1"/>
  <c r="T502" i="1"/>
  <c r="N79" i="1"/>
  <c r="S427" i="1"/>
  <c r="F67" i="1"/>
  <c r="F180" i="1"/>
  <c r="D60" i="2"/>
  <c r="L182" i="1"/>
  <c r="P290" i="1"/>
  <c r="N102" i="1"/>
  <c r="S133" i="1"/>
  <c r="G82" i="2"/>
  <c r="D75" i="1"/>
  <c r="AA253" i="1"/>
  <c r="S442" i="1"/>
  <c r="T410" i="1"/>
  <c r="S69" i="2"/>
  <c r="M405" i="1"/>
  <c r="Z115" i="1"/>
  <c r="L3" i="1"/>
  <c r="R89" i="2"/>
  <c r="G485" i="1"/>
  <c r="L323" i="1"/>
  <c r="L387" i="1"/>
  <c r="T111" i="1"/>
  <c r="F51" i="2"/>
  <c r="AA407" i="1"/>
  <c r="AA110" i="1"/>
  <c r="I274" i="1"/>
  <c r="Z481" i="1"/>
  <c r="D86" i="2"/>
  <c r="X37" i="2"/>
  <c r="D510" i="1"/>
  <c r="S410" i="1"/>
  <c r="R502" i="1"/>
  <c r="L62" i="1"/>
  <c r="P525" i="1"/>
  <c r="P326" i="1"/>
  <c r="G272" i="1"/>
  <c r="D383" i="1"/>
  <c r="E15" i="2"/>
  <c r="L457" i="1"/>
  <c r="E219" i="1"/>
  <c r="AA337" i="1"/>
  <c r="X51" i="2"/>
  <c r="T424" i="1"/>
  <c r="H85" i="2"/>
  <c r="M158" i="1"/>
  <c r="P7" i="1"/>
  <c r="S456" i="1"/>
  <c r="N389" i="1"/>
  <c r="E521" i="1"/>
  <c r="S5" i="2"/>
  <c r="L302" i="1"/>
  <c r="Z91" i="1"/>
  <c r="N94" i="1"/>
  <c r="AA73" i="1"/>
  <c r="D511" i="1"/>
  <c r="R253" i="1"/>
  <c r="M363" i="1"/>
  <c r="N405" i="1"/>
  <c r="G527" i="1"/>
  <c r="E237" i="1"/>
  <c r="AB171" i="1"/>
  <c r="H6" i="2"/>
  <c r="S360" i="1"/>
  <c r="H93" i="2"/>
  <c r="AA152" i="1"/>
  <c r="Z59" i="1"/>
  <c r="AB366" i="1"/>
  <c r="G115" i="1"/>
  <c r="O25" i="2"/>
  <c r="P120" i="1"/>
  <c r="AA190" i="1"/>
  <c r="T439" i="1"/>
  <c r="AA187" i="1"/>
  <c r="Z177" i="1"/>
  <c r="AB149" i="1"/>
  <c r="O93" i="1"/>
  <c r="G21" i="2"/>
  <c r="I231" i="1"/>
  <c r="T432" i="1"/>
  <c r="C1" i="1"/>
  <c r="P349" i="1"/>
  <c r="AA61" i="1"/>
  <c r="S512" i="1"/>
  <c r="AB503" i="1"/>
  <c r="O107" i="1"/>
  <c r="L342" i="1"/>
  <c r="T373" i="1"/>
  <c r="R353" i="1"/>
  <c r="AA108" i="1"/>
  <c r="E194" i="1"/>
  <c r="Z341" i="1"/>
  <c r="E157" i="1"/>
  <c r="D351" i="1"/>
  <c r="T206" i="1"/>
  <c r="I248" i="1"/>
  <c r="N199" i="1"/>
  <c r="H4" i="2"/>
  <c r="A32" i="2"/>
  <c r="L225" i="1"/>
  <c r="N76" i="1"/>
  <c r="M110" i="1"/>
  <c r="G323" i="1"/>
  <c r="G261" i="1"/>
  <c r="D270" i="1"/>
  <c r="L274" i="1"/>
  <c r="T341" i="1"/>
  <c r="Z457" i="1"/>
  <c r="N149" i="1"/>
  <c r="Z203" i="1"/>
  <c r="R78" i="1"/>
  <c r="S60" i="2"/>
  <c r="L507" i="1"/>
  <c r="AB252" i="1"/>
  <c r="G155" i="1"/>
  <c r="F457" i="1"/>
  <c r="AD12" i="2"/>
  <c r="AA405" i="1"/>
  <c r="R309" i="1"/>
  <c r="I146" i="1"/>
  <c r="M503" i="1"/>
  <c r="T29" i="2"/>
  <c r="M240" i="1"/>
  <c r="L163" i="1"/>
  <c r="T366" i="1"/>
  <c r="Z23" i="1"/>
  <c r="Q301" i="1"/>
  <c r="S162" i="1"/>
  <c r="G122" i="1"/>
  <c r="F90" i="1"/>
  <c r="G59" i="1"/>
  <c r="T210" i="1"/>
  <c r="S251" i="1"/>
  <c r="F449" i="1"/>
  <c r="I280" i="1"/>
  <c r="U155" i="1"/>
  <c r="AA107" i="1"/>
  <c r="D408" i="1"/>
  <c r="E1" i="1"/>
  <c r="I17" i="1"/>
  <c r="L237" i="1"/>
  <c r="Z158" i="1"/>
  <c r="O378" i="1"/>
  <c r="AE2" i="2"/>
  <c r="F80" i="2"/>
  <c r="S226" i="1"/>
  <c r="T7" i="1"/>
  <c r="O392" i="1"/>
  <c r="P71" i="2"/>
  <c r="G31" i="1"/>
  <c r="O54" i="2"/>
  <c r="I408" i="1"/>
  <c r="AG73" i="2"/>
  <c r="Q347" i="1"/>
  <c r="M495" i="1"/>
  <c r="G514" i="1"/>
  <c r="P247" i="1"/>
  <c r="U70" i="2"/>
  <c r="M249" i="1"/>
  <c r="S67" i="1"/>
  <c r="AA130" i="1"/>
  <c r="Z231" i="1"/>
  <c r="Z206" i="1"/>
  <c r="AA267" i="1"/>
  <c r="O263" i="1"/>
  <c r="G173" i="1"/>
  <c r="W28" i="2"/>
  <c r="N440" i="1"/>
  <c r="T250" i="1"/>
  <c r="AG2" i="2"/>
  <c r="G68" i="2"/>
  <c r="L140" i="1"/>
  <c r="P109" i="2"/>
  <c r="S191" i="1"/>
  <c r="T171" i="1"/>
  <c r="T92" i="1"/>
  <c r="A30" i="2"/>
  <c r="X75" i="2"/>
  <c r="E22" i="2"/>
  <c r="Q210" i="1"/>
  <c r="M204" i="1"/>
  <c r="AA194" i="1"/>
  <c r="L371" i="1"/>
  <c r="O508" i="1"/>
  <c r="N49" i="1"/>
  <c r="S170" i="1"/>
  <c r="AA363" i="1"/>
  <c r="F173" i="1"/>
  <c r="O99" i="1"/>
  <c r="T200" i="1"/>
  <c r="D277" i="1"/>
  <c r="I155" i="1"/>
  <c r="T133" i="1"/>
  <c r="X29" i="2"/>
  <c r="D302" i="1"/>
  <c r="Z26" i="1"/>
  <c r="Q174" i="1"/>
  <c r="S340" i="1"/>
  <c r="G301" i="1"/>
  <c r="F84" i="1"/>
  <c r="G365" i="1"/>
  <c r="E188" i="1"/>
  <c r="R111" i="1"/>
  <c r="I64" i="1"/>
  <c r="D290" i="1"/>
  <c r="I132" i="1"/>
  <c r="T96" i="1"/>
  <c r="T97" i="1"/>
  <c r="V66" i="2"/>
  <c r="T496" i="1"/>
  <c r="AB449" i="1"/>
  <c r="E113" i="1"/>
  <c r="I474" i="1"/>
  <c r="I331" i="1"/>
  <c r="E298" i="1"/>
  <c r="Z77" i="1"/>
  <c r="M448" i="1"/>
  <c r="P6" i="2"/>
  <c r="O430" i="1"/>
  <c r="AA410" i="1"/>
  <c r="T345" i="1"/>
  <c r="T466" i="1"/>
  <c r="AB496" i="1"/>
  <c r="S318" i="1"/>
  <c r="D172" i="1"/>
  <c r="M526" i="1"/>
  <c r="AG55" i="2"/>
  <c r="F206" i="1"/>
  <c r="Q141" i="1"/>
  <c r="F76" i="2"/>
  <c r="P465" i="1"/>
  <c r="M450" i="1"/>
  <c r="AA459" i="1"/>
  <c r="S126" i="1"/>
  <c r="R393" i="1"/>
  <c r="M146" i="1"/>
  <c r="E75" i="2"/>
  <c r="E411" i="1"/>
  <c r="Q359" i="1"/>
  <c r="T295" i="1"/>
  <c r="F215" i="1"/>
  <c r="Q82" i="1"/>
  <c r="E379" i="1"/>
  <c r="P67" i="1"/>
  <c r="M532" i="1"/>
  <c r="I187" i="1"/>
  <c r="G234" i="1"/>
  <c r="M113" i="1"/>
  <c r="R45" i="1"/>
  <c r="N415" i="1"/>
  <c r="T512" i="1"/>
  <c r="AD1" i="2"/>
  <c r="AA66" i="1"/>
  <c r="R99" i="1"/>
  <c r="M32" i="1"/>
  <c r="F134" i="1"/>
  <c r="X88" i="2"/>
  <c r="F83" i="2"/>
  <c r="N80" i="2"/>
  <c r="N61" i="1"/>
  <c r="P257" i="1"/>
  <c r="N168" i="1"/>
  <c r="M469" i="1"/>
  <c r="O503" i="1"/>
  <c r="M525" i="1"/>
  <c r="G114" i="1"/>
  <c r="T386" i="1"/>
  <c r="L493" i="1"/>
  <c r="E390" i="1"/>
  <c r="AH50" i="2"/>
  <c r="D477" i="1"/>
  <c r="F363" i="1"/>
  <c r="O134" i="1"/>
  <c r="W67" i="2"/>
  <c r="T33" i="1"/>
  <c r="D179" i="1"/>
  <c r="J28" i="2"/>
  <c r="L156" i="1"/>
  <c r="AA128" i="1"/>
  <c r="U7" i="2"/>
  <c r="R80" i="2"/>
  <c r="L9" i="1"/>
  <c r="M340" i="1"/>
  <c r="AD44" i="2"/>
  <c r="T64" i="1"/>
  <c r="R454" i="1"/>
  <c r="D108" i="2"/>
  <c r="T85" i="1"/>
  <c r="S378" i="1"/>
  <c r="R33" i="2"/>
  <c r="G316" i="1"/>
  <c r="R365" i="1"/>
  <c r="AB323" i="1"/>
  <c r="F247" i="1"/>
  <c r="N427" i="1"/>
  <c r="S531" i="1"/>
  <c r="F494" i="1"/>
  <c r="AA143" i="1"/>
  <c r="W430" i="1"/>
  <c r="S9" i="2"/>
  <c r="L234" i="1"/>
  <c r="D399" i="1"/>
  <c r="N129" i="1"/>
  <c r="L525" i="1"/>
  <c r="L347" i="1"/>
  <c r="V94" i="2"/>
  <c r="I201" i="1"/>
  <c r="R263" i="1"/>
  <c r="G518" i="1"/>
  <c r="R395" i="1"/>
  <c r="N227" i="1"/>
  <c r="T437" i="1"/>
  <c r="AJ98" i="2"/>
  <c r="G487" i="1"/>
  <c r="S462" i="1"/>
  <c r="R361" i="1"/>
  <c r="Q8" i="1"/>
  <c r="D170" i="1"/>
  <c r="R450" i="1"/>
  <c r="G274" i="1"/>
  <c r="R122" i="1"/>
  <c r="E117" i="1"/>
  <c r="AB502" i="1"/>
  <c r="R40" i="1"/>
  <c r="V65" i="2"/>
  <c r="E506" i="1"/>
  <c r="I93" i="1"/>
  <c r="E425" i="1"/>
  <c r="R405" i="1"/>
  <c r="AB257" i="1"/>
  <c r="D338" i="1"/>
  <c r="M322" i="1"/>
  <c r="F421" i="1"/>
  <c r="L144" i="1"/>
  <c r="G369" i="1"/>
  <c r="S403" i="1"/>
  <c r="S377" i="1"/>
  <c r="X81" i="2"/>
  <c r="E149" i="1"/>
  <c r="R57" i="2"/>
  <c r="I427" i="1"/>
  <c r="D280" i="1"/>
  <c r="S479" i="1"/>
  <c r="S254" i="1"/>
  <c r="I7" i="1"/>
  <c r="AA257" i="1"/>
  <c r="I143" i="1"/>
  <c r="L14" i="1"/>
  <c r="V74" i="2"/>
  <c r="AJ35" i="2"/>
  <c r="L29" i="1"/>
  <c r="M19" i="1"/>
  <c r="Z122" i="1"/>
  <c r="X7" i="2"/>
  <c r="AB511" i="1"/>
  <c r="E405" i="1"/>
  <c r="E74" i="2"/>
  <c r="O64" i="2"/>
  <c r="E414" i="1"/>
  <c r="S270" i="1"/>
  <c r="M40" i="1"/>
  <c r="S107" i="1"/>
  <c r="O47" i="2"/>
  <c r="N340" i="1"/>
  <c r="E170" i="1"/>
  <c r="R463" i="1"/>
  <c r="Z94" i="1"/>
  <c r="Q79" i="1"/>
  <c r="R500" i="1"/>
  <c r="M137" i="1"/>
  <c r="P479" i="1"/>
  <c r="Q298" i="1"/>
  <c r="D92" i="1"/>
  <c r="M35" i="1"/>
  <c r="G312" i="1"/>
  <c r="D73" i="1"/>
  <c r="F466" i="1"/>
  <c r="P171" i="1"/>
  <c r="AA467" i="1"/>
  <c r="E299" i="1"/>
  <c r="E309" i="1"/>
  <c r="AB38" i="1"/>
  <c r="AB325" i="1"/>
  <c r="Q503" i="1"/>
  <c r="Q119" i="1"/>
  <c r="AG42" i="2"/>
  <c r="AB349" i="1"/>
  <c r="G341" i="1"/>
  <c r="G151" i="1"/>
  <c r="G375" i="1"/>
  <c r="F397" i="1"/>
  <c r="O249" i="1"/>
  <c r="M25" i="1"/>
  <c r="Z381" i="1"/>
  <c r="W88" i="2"/>
  <c r="X14" i="2"/>
  <c r="M513" i="1"/>
  <c r="S49" i="1"/>
  <c r="G319" i="1"/>
  <c r="M313" i="1"/>
  <c r="R452" i="1"/>
  <c r="O461" i="1"/>
  <c r="G72" i="1"/>
  <c r="Z173" i="1"/>
  <c r="E442" i="1"/>
  <c r="R150" i="1"/>
  <c r="V41" i="2"/>
  <c r="D71" i="2"/>
  <c r="R485" i="1"/>
  <c r="P253" i="1"/>
  <c r="E513" i="1"/>
  <c r="G495" i="1"/>
  <c r="M323" i="1"/>
  <c r="P168" i="1"/>
  <c r="AF93" i="2"/>
  <c r="P155" i="1"/>
  <c r="V11" i="2"/>
  <c r="Z297" i="1"/>
  <c r="G511" i="1"/>
  <c r="AB159" i="1"/>
  <c r="F371" i="1"/>
  <c r="F524" i="1"/>
  <c r="T129" i="1"/>
  <c r="R307" i="1"/>
  <c r="AD6" i="2"/>
  <c r="F32" i="1"/>
  <c r="E62" i="1"/>
  <c r="G278" i="1"/>
  <c r="AA448" i="1"/>
  <c r="D56" i="2"/>
  <c r="E318" i="1"/>
  <c r="G474" i="1"/>
  <c r="U39" i="1"/>
  <c r="P487" i="1"/>
  <c r="G134" i="1"/>
  <c r="S139" i="1"/>
  <c r="Z227" i="1"/>
  <c r="F157" i="1"/>
  <c r="I36" i="1"/>
  <c r="Q20" i="2"/>
  <c r="I84" i="1"/>
  <c r="M97" i="2"/>
  <c r="Q397" i="1"/>
  <c r="E301" i="1"/>
  <c r="D18" i="1"/>
  <c r="AB369" i="1"/>
  <c r="O424" i="1"/>
  <c r="N83" i="2"/>
  <c r="S468" i="1"/>
  <c r="Q360" i="1"/>
  <c r="F520" i="1"/>
  <c r="AA111" i="1"/>
  <c r="N114" i="1"/>
  <c r="T355" i="1"/>
  <c r="R260" i="1"/>
  <c r="M518" i="1"/>
  <c r="S238" i="1"/>
  <c r="AG30" i="2"/>
  <c r="F5" i="2"/>
  <c r="AD34" i="2"/>
  <c r="R53" i="2"/>
  <c r="D489" i="1"/>
  <c r="Q195" i="1"/>
  <c r="M442" i="1"/>
  <c r="T258" i="1"/>
  <c r="J16" i="2"/>
  <c r="M44" i="1"/>
  <c r="V151" i="1"/>
  <c r="M258" i="1"/>
  <c r="M22" i="1"/>
  <c r="S15" i="1"/>
  <c r="P275" i="1"/>
  <c r="G8" i="1"/>
  <c r="O316" i="1"/>
  <c r="I470" i="1"/>
  <c r="N424" i="1"/>
  <c r="Q26" i="1"/>
  <c r="AB9" i="1"/>
  <c r="T197" i="1"/>
  <c r="AA207" i="1"/>
  <c r="Z251" i="1"/>
  <c r="Q320" i="1"/>
  <c r="G273" i="1"/>
  <c r="M213" i="1"/>
  <c r="N466" i="1"/>
  <c r="T396" i="1"/>
  <c r="W151" i="1"/>
  <c r="D527" i="1"/>
  <c r="E264" i="1"/>
  <c r="U40" i="2"/>
  <c r="Q457" i="1"/>
  <c r="N83" i="1"/>
  <c r="R491" i="1"/>
  <c r="E344" i="1"/>
  <c r="S98" i="2"/>
  <c r="D112" i="1"/>
  <c r="O90" i="2"/>
  <c r="C315" i="1"/>
  <c r="S363" i="1"/>
  <c r="P502" i="1"/>
  <c r="N425" i="1"/>
  <c r="E60" i="1"/>
  <c r="AB223" i="1"/>
  <c r="S269" i="1"/>
  <c r="D83" i="1"/>
  <c r="F496" i="1"/>
  <c r="U97" i="2"/>
  <c r="AB490" i="1"/>
</calcChain>
</file>

<file path=xl/sharedStrings.xml><?xml version="1.0" encoding="utf-8"?>
<sst xmlns="http://schemas.openxmlformats.org/spreadsheetml/2006/main" count="300" uniqueCount="70">
  <si>
    <t>ACC</t>
  </si>
  <si>
    <t>YES</t>
  </si>
  <si>
    <t>CEMC</t>
  </si>
  <si>
    <t>LIONES</t>
  </si>
  <si>
    <t>SOLINGEN</t>
  </si>
  <si>
    <t>SIRMIUM</t>
  </si>
  <si>
    <t>Vega Aurelio</t>
  </si>
  <si>
    <t>NO</t>
  </si>
  <si>
    <t>Beograd</t>
  </si>
  <si>
    <t>Kobalia Mikhail</t>
  </si>
  <si>
    <t>Bjornsson, Gunnar</t>
  </si>
  <si>
    <t>Bayat, Shohreh</t>
  </si>
  <si>
    <t>OFF</t>
  </si>
  <si>
    <t>Jovanovic Anja</t>
  </si>
  <si>
    <t>Maltsevskaya Aleksandra</t>
  </si>
  <si>
    <t>Niš</t>
  </si>
  <si>
    <t>Let br.</t>
  </si>
  <si>
    <t>Datum</t>
  </si>
  <si>
    <t>Vreme leta</t>
  </si>
  <si>
    <t>Odlazak iz VB</t>
  </si>
  <si>
    <t>27/10/2024</t>
  </si>
  <si>
    <t>10:20</t>
  </si>
  <si>
    <t>JU 210</t>
  </si>
  <si>
    <t>JU 532</t>
  </si>
  <si>
    <t>TK 1080</t>
  </si>
  <si>
    <t>JU 756</t>
  </si>
  <si>
    <t>JU 130</t>
  </si>
  <si>
    <t>EK 2221</t>
  </si>
  <si>
    <t>Gaponenko, Inna</t>
  </si>
  <si>
    <t>JU584</t>
  </si>
  <si>
    <t>LH 1407</t>
  </si>
  <si>
    <t>JU262</t>
  </si>
  <si>
    <t>CENTAR</t>
  </si>
  <si>
    <t>Agarwal 3</t>
  </si>
  <si>
    <t>Agarwal 4</t>
  </si>
  <si>
    <t>TK 1084</t>
  </si>
  <si>
    <t>PC374</t>
  </si>
  <si>
    <t>Popov A.</t>
  </si>
  <si>
    <t>Popova L</t>
  </si>
  <si>
    <t>13:50</t>
  </si>
  <si>
    <t>JU142</t>
  </si>
  <si>
    <t>13:10</t>
  </si>
  <si>
    <t>JU102</t>
  </si>
  <si>
    <t>TK1080</t>
  </si>
  <si>
    <t>VF114</t>
  </si>
  <si>
    <t>TK1084</t>
  </si>
  <si>
    <t>INDIVID.</t>
  </si>
  <si>
    <t>Neko</t>
  </si>
  <si>
    <t>Neko 2</t>
  </si>
  <si>
    <t>W94001</t>
  </si>
  <si>
    <t>12:25</t>
  </si>
  <si>
    <t>15:10</t>
  </si>
  <si>
    <t>10:25</t>
  </si>
  <si>
    <t>centar</t>
  </si>
  <si>
    <t>28-10-2024</t>
  </si>
  <si>
    <t>Demitchik, Natalia</t>
  </si>
  <si>
    <t>Atlas, Dimitry</t>
  </si>
  <si>
    <t>Arpa, Emre + 2 persons</t>
  </si>
  <si>
    <t>14:35</t>
  </si>
  <si>
    <t>VRNJACKE TERME 23:30; ZEPTER 23:40; FONTANA 23:50; TONANTI 00:00</t>
  </si>
  <si>
    <t>VRNJACKE TERME 2:30; ZEPTER 2:40; FONTANA 2:50; TONANTI 3:00</t>
  </si>
  <si>
    <t>VRNJACKE TERME 5:00; ZEPTER 5:10; FONTANA 5:20; TONANTI 5:30</t>
  </si>
  <si>
    <t>VRNJACKE TERME 6:30; ZEPTER 6:40; FONTANA 6:50; TONANTI 7:00</t>
  </si>
  <si>
    <t>VRNJACKE TERME 9:30; ZEPTER 9:40; FONTANA 9:50; TONANTI 10:00</t>
  </si>
  <si>
    <t>VRNJACKE TERME 10:30; ZEPTER 10:40; FONTANA 10:50; TONANTI 11:00</t>
  </si>
  <si>
    <t>VRNJACKE TERME 15:30; ZEPTER 15:40; FONTANA 15:50; TONANTI 16:00</t>
  </si>
  <si>
    <t>??</t>
  </si>
  <si>
    <t>Date</t>
  </si>
  <si>
    <t>Flight dep.</t>
  </si>
  <si>
    <t>Hotel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</si>
</sst>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/dd/yyyy"/>
    <numFmt numFmtId="165" formatCode="mmm\ d/yy"/>
    <numFmt numFmtId="166" formatCode="m/d"/>
  </numFmts>
  <fonts count="24" x14ac:knownFonts="1">
    <font>
      <sz val="10"/>
      <color rgb="FF000000"/>
      <name val="Arial"/>
      <scheme val="minor"/>
    </font>
    <font>
      <b/>
      <sz val="10"/>
      <color theme="1"/>
      <name val="Arial"/>
      <family val="2"/>
      <charset val="238"/>
      <scheme val="minor"/>
    </font>
    <font>
      <sz val="10"/>
      <color theme="1"/>
      <name val="Arial"/>
      <family val="2"/>
      <charset val="238"/>
      <scheme val="minor"/>
    </font>
    <font>
      <u/>
      <sz val="10"/>
      <color rgb="FF0000FF"/>
      <name val="Arial"/>
      <family val="2"/>
      <charset val="238"/>
    </font>
    <font>
      <sz val="11"/>
      <color theme="1"/>
      <name val="Calibri"/>
      <family val="2"/>
    </font>
    <font>
      <sz val="10"/>
      <color theme="1"/>
      <name val="Arial"/>
      <family val="2"/>
      <charset val="238"/>
      <scheme val="minor"/>
    </font>
    <font>
      <b/>
      <sz val="10"/>
      <color theme="1"/>
      <name val="Arial"/>
      <family val="2"/>
      <charset val="238"/>
      <scheme val="minor"/>
    </font>
    <font>
      <sz val="10"/>
      <name val="Arial"/>
      <family val="2"/>
      <charset val="238"/>
      <scheme val="minor"/>
    </font>
    <font>
      <sz val="10"/>
      <color rgb="FF000000"/>
      <name val="Arial"/>
      <family val="2"/>
      <charset val="238"/>
    </font>
    <font>
      <sz val="10"/>
      <name val="Arial"/>
      <family val="2"/>
      <charset val="238"/>
    </font>
    <font>
      <b/>
      <sz val="10"/>
      <color rgb="FFFF0000"/>
      <name val="Arial"/>
      <family val="2"/>
      <charset val="238"/>
      <scheme val="minor"/>
    </font>
    <font>
      <b/>
      <sz val="16"/>
      <color theme="1"/>
      <name val="Arial"/>
      <family val="2"/>
      <charset val="238"/>
      <scheme val="minor"/>
    </font>
    <font>
      <sz val="16"/>
      <color rgb="FF000000"/>
      <name val="Arial"/>
      <family val="2"/>
      <scheme val="minor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sz val="12"/>
      <color rgb="FF000000"/>
      <name val="Calibri"/>
      <family val="2"/>
    </font>
    <font>
      <b/>
      <sz val="12"/>
      <color rgb="FFFF0000"/>
      <name val="Calibri"/>
      <family val="2"/>
    </font>
    <font>
      <b/>
      <sz val="10"/>
      <color theme="1"/>
      <name val="Arial"/>
      <family val="2"/>
      <scheme val="minor"/>
    </font>
    <font>
      <b/>
      <sz val="10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color rgb="FF000000"/>
      <name val="Calibri"/>
      <family val="2"/>
      <charset val="238"/>
    </font>
    <font>
      <sz val="10"/>
      <color rgb="FF000000"/>
      <name val="Calibri"/>
      <family val="2"/>
      <charset val="1"/>
    </font>
    <font>
      <sz val="10"/>
      <color theme="1"/>
      <name val="Arial"/>
      <family val="2"/>
      <scheme val="minor"/>
    </font>
    <font>
      <sz val="10"/>
      <color rgb="FF333333"/>
      <name val="Arial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D9EAD3"/>
      </patternFill>
    </fill>
    <fill>
      <patternFill patternType="solid">
        <fgColor theme="0"/>
        <bgColor rgb="FFFCE5CD"/>
      </patternFill>
    </fill>
    <fill>
      <patternFill patternType="solid">
        <fgColor rgb="FFFFFF00"/>
        <bgColor rgb="FFFCE5CD"/>
      </patternFill>
    </fill>
    <fill>
      <patternFill patternType="solid">
        <fgColor theme="7"/>
        <bgColor rgb="FFD9EAD3"/>
      </patternFill>
    </fill>
    <fill>
      <patternFill patternType="solid">
        <fgColor rgb="FF00B050"/>
        <bgColor rgb="FFD9EAD3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1" fillId="4" borderId="0" xfId="0" applyFont="1" applyFill="1"/>
    <xf numFmtId="0" fontId="2" fillId="3" borderId="0" xfId="0" applyFont="1" applyFill="1"/>
    <xf numFmtId="0" fontId="2" fillId="4" borderId="0" xfId="0" applyFont="1" applyFill="1"/>
    <xf numFmtId="0" fontId="0" fillId="2" borderId="0" xfId="0" applyFill="1"/>
    <xf numFmtId="0" fontId="2" fillId="2" borderId="1" xfId="0" applyFont="1" applyFill="1" applyBorder="1"/>
    <xf numFmtId="0" fontId="2" fillId="0" borderId="1" xfId="0" applyFont="1" applyBorder="1"/>
    <xf numFmtId="0" fontId="2" fillId="3" borderId="1" xfId="0" applyFont="1" applyFill="1" applyBorder="1"/>
    <xf numFmtId="0" fontId="2" fillId="4" borderId="1" xfId="0" applyFont="1" applyFill="1" applyBorder="1"/>
    <xf numFmtId="20" fontId="2" fillId="4" borderId="1" xfId="0" applyNumberFormat="1" applyFont="1" applyFill="1" applyBorder="1"/>
    <xf numFmtId="164" fontId="2" fillId="2" borderId="1" xfId="0" applyNumberFormat="1" applyFont="1" applyFill="1" applyBorder="1"/>
    <xf numFmtId="14" fontId="2" fillId="2" borderId="1" xfId="0" applyNumberFormat="1" applyFont="1" applyFill="1" applyBorder="1"/>
    <xf numFmtId="165" fontId="2" fillId="2" borderId="1" xfId="0" applyNumberFormat="1" applyFont="1" applyFill="1" applyBorder="1"/>
    <xf numFmtId="0" fontId="2" fillId="2" borderId="1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164" fontId="2" fillId="0" borderId="1" xfId="0" applyNumberFormat="1" applyFont="1" applyBorder="1"/>
    <xf numFmtId="166" fontId="2" fillId="0" borderId="1" xfId="0" applyNumberFormat="1" applyFont="1" applyBorder="1"/>
    <xf numFmtId="0" fontId="2" fillId="5" borderId="1" xfId="0" applyFont="1" applyFill="1" applyBorder="1"/>
    <xf numFmtId="20" fontId="2" fillId="5" borderId="1" xfId="0" applyNumberFormat="1" applyFont="1" applyFill="1" applyBorder="1"/>
    <xf numFmtId="0" fontId="5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6" fillId="3" borderId="0" xfId="0" applyFont="1" applyFill="1"/>
    <xf numFmtId="0" fontId="5" fillId="3" borderId="1" xfId="0" applyFont="1" applyFill="1" applyBorder="1"/>
    <xf numFmtId="0" fontId="7" fillId="3" borderId="1" xfId="0" applyFont="1" applyFill="1" applyBorder="1"/>
    <xf numFmtId="0" fontId="6" fillId="3" borderId="0" xfId="0" applyFont="1" applyFill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5" fillId="6" borderId="1" xfId="0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49" fontId="8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/>
    </xf>
    <xf numFmtId="0" fontId="10" fillId="2" borderId="1" xfId="0" applyFont="1" applyFill="1" applyBorder="1"/>
    <xf numFmtId="0" fontId="10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wrapText="1"/>
    </xf>
    <xf numFmtId="166" fontId="2" fillId="2" borderId="1" xfId="0" applyNumberFormat="1" applyFont="1" applyFill="1" applyBorder="1"/>
    <xf numFmtId="0" fontId="1" fillId="2" borderId="2" xfId="0" applyFont="1" applyFill="1" applyBorder="1"/>
    <xf numFmtId="0" fontId="1" fillId="2" borderId="2" xfId="0" applyFont="1" applyFill="1" applyBorder="1" applyAlignment="1">
      <alignment horizontal="center"/>
    </xf>
    <xf numFmtId="0" fontId="2" fillId="2" borderId="5" xfId="0" applyFont="1" applyFill="1" applyBorder="1"/>
    <xf numFmtId="0" fontId="2" fillId="2" borderId="5" xfId="0" applyFont="1" applyFill="1" applyBorder="1" applyAlignment="1">
      <alignment horizontal="center"/>
    </xf>
    <xf numFmtId="0" fontId="11" fillId="2" borderId="6" xfId="0" applyFont="1" applyFill="1" applyBorder="1"/>
    <xf numFmtId="0" fontId="11" fillId="2" borderId="3" xfId="0" applyFont="1" applyFill="1" applyBorder="1"/>
    <xf numFmtId="0" fontId="11" fillId="2" borderId="3" xfId="0" applyFont="1" applyFill="1" applyBorder="1" applyAlignment="1">
      <alignment horizontal="center"/>
    </xf>
    <xf numFmtId="0" fontId="12" fillId="2" borderId="0" xfId="0" applyFont="1" applyFill="1"/>
    <xf numFmtId="0" fontId="1" fillId="4" borderId="0" xfId="0" applyFont="1" applyFill="1" applyAlignment="1">
      <alignment horizontal="center"/>
    </xf>
    <xf numFmtId="0" fontId="11" fillId="4" borderId="3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10" fillId="4" borderId="1" xfId="0" applyFont="1" applyFill="1" applyBorder="1" applyAlignment="1">
      <alignment horizontal="center"/>
    </xf>
    <xf numFmtId="0" fontId="2" fillId="4" borderId="0" xfId="0" applyFont="1" applyFill="1" applyBorder="1" applyAlignment="1">
      <alignment horizontal="center"/>
    </xf>
    <xf numFmtId="20" fontId="2" fillId="4" borderId="1" xfId="0" applyNumberFormat="1" applyFont="1" applyFill="1" applyBorder="1" applyAlignment="1">
      <alignment horizontal="center"/>
    </xf>
    <xf numFmtId="0" fontId="13" fillId="4" borderId="0" xfId="0" applyFont="1" applyFill="1" applyAlignment="1">
      <alignment horizontal="right"/>
    </xf>
    <xf numFmtId="20" fontId="14" fillId="4" borderId="1" xfId="0" applyNumberFormat="1" applyFont="1" applyFill="1" applyBorder="1" applyAlignment="1">
      <alignment horizontal="right"/>
    </xf>
    <xf numFmtId="49" fontId="15" fillId="2" borderId="1" xfId="0" applyNumberFormat="1" applyFont="1" applyFill="1" applyBorder="1" applyAlignment="1">
      <alignment horizontal="right" vertical="center"/>
    </xf>
    <xf numFmtId="0" fontId="15" fillId="2" borderId="0" xfId="0" applyFont="1" applyFill="1" applyAlignment="1">
      <alignment horizontal="right"/>
    </xf>
    <xf numFmtId="0" fontId="13" fillId="4" borderId="4" xfId="0" applyFont="1" applyFill="1" applyBorder="1" applyAlignment="1">
      <alignment horizontal="right"/>
    </xf>
    <xf numFmtId="20" fontId="14" fillId="4" borderId="5" xfId="0" applyNumberFormat="1" applyFont="1" applyFill="1" applyBorder="1"/>
    <xf numFmtId="20" fontId="14" fillId="4" borderId="1" xfId="0" applyNumberFormat="1" applyFont="1" applyFill="1" applyBorder="1"/>
    <xf numFmtId="0" fontId="14" fillId="4" borderId="1" xfId="0" applyFont="1" applyFill="1" applyBorder="1"/>
    <xf numFmtId="0" fontId="16" fillId="4" borderId="1" xfId="0" applyFont="1" applyFill="1" applyBorder="1"/>
    <xf numFmtId="0" fontId="17" fillId="5" borderId="1" xfId="0" applyFont="1" applyFill="1" applyBorder="1" applyAlignment="1">
      <alignment horizontal="center"/>
    </xf>
    <xf numFmtId="0" fontId="18" fillId="4" borderId="0" xfId="0" applyFont="1" applyFill="1" applyAlignment="1">
      <alignment horizontal="center"/>
    </xf>
    <xf numFmtId="0" fontId="18" fillId="4" borderId="3" xfId="0" applyFont="1" applyFill="1" applyBorder="1" applyAlignment="1">
      <alignment horizontal="center"/>
    </xf>
    <xf numFmtId="0" fontId="19" fillId="4" borderId="1" xfId="0" applyFont="1" applyFill="1" applyBorder="1" applyAlignment="1">
      <alignment horizontal="center"/>
    </xf>
    <xf numFmtId="49" fontId="20" fillId="2" borderId="1" xfId="0" applyNumberFormat="1" applyFont="1" applyFill="1" applyBorder="1" applyAlignment="1">
      <alignment horizontal="center" vertical="center"/>
    </xf>
    <xf numFmtId="49" fontId="21" fillId="2" borderId="1" xfId="0" applyNumberFormat="1" applyFont="1" applyFill="1" applyBorder="1" applyAlignment="1">
      <alignment horizontal="center" vertical="center"/>
    </xf>
    <xf numFmtId="0" fontId="22" fillId="2" borderId="1" xfId="0" applyFont="1" applyFill="1" applyBorder="1" applyAlignment="1">
      <alignment horizontal="center"/>
    </xf>
    <xf numFmtId="0" fontId="23" fillId="2" borderId="1" xfId="0" applyFont="1" applyFill="1" applyBorder="1" applyAlignment="1">
      <alignment horizontal="center"/>
    </xf>
    <xf numFmtId="0" fontId="20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baloghcsaba87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E534"/>
  <sheetViews>
    <sheetView tabSelected="1" topLeftCell="A196" workbookViewId="0">
      <selection activeCell="AG250" sqref="AG250"/>
    </sheetView>
  </sheetViews>
  <sheetFormatPr defaultColWidth="12.5546875" defaultRowHeight="15.75" customHeight="1" x14ac:dyDescent="0.3"/>
  <cols>
    <col min="1" max="1" width="5.109375" style="7" customWidth="1"/>
    <col min="2" max="2" width="3.44140625" style="7" hidden="1" customWidth="1"/>
    <col min="3" max="3" width="14.44140625" style="7" hidden="1" customWidth="1"/>
    <col min="4" max="4" width="9.44140625" style="7" hidden="1" customWidth="1"/>
    <col min="5" max="5" width="8.44140625" style="19" customWidth="1"/>
    <col min="6" max="6" width="33.5546875" style="7" customWidth="1"/>
    <col min="7" max="7" width="6.5546875" style="19" customWidth="1"/>
    <col min="8" max="8" width="4.44140625" style="7" hidden="1" customWidth="1"/>
    <col min="9" max="9" width="4.6640625" style="7" hidden="1" customWidth="1"/>
    <col min="10" max="11" width="4.44140625" style="7" hidden="1" customWidth="1"/>
    <col min="12" max="12" width="21.109375" style="7" customWidth="1"/>
    <col min="13" max="13" width="6.88671875" style="19" customWidth="1"/>
    <col min="14" max="14" width="13" style="19" customWidth="1"/>
    <col min="15" max="15" width="13.44140625" style="7" hidden="1" customWidth="1"/>
    <col min="16" max="16" width="4.6640625" style="7" hidden="1" customWidth="1"/>
    <col min="17" max="17" width="5.6640625" style="7" hidden="1" customWidth="1"/>
    <col min="18" max="18" width="11.44140625" style="7" hidden="1" customWidth="1"/>
    <col min="19" max="19" width="9.44140625" style="7" hidden="1" customWidth="1"/>
    <col min="20" max="20" width="13.44140625" style="7" hidden="1" customWidth="1"/>
    <col min="21" max="21" width="29" style="7" hidden="1" customWidth="1"/>
    <col min="22" max="22" width="9.44140625" style="7" hidden="1" customWidth="1"/>
    <col min="23" max="23" width="11.44140625" style="7" hidden="1" customWidth="1"/>
    <col min="24" max="24" width="11.5546875" style="7" hidden="1" customWidth="1"/>
    <col min="25" max="25" width="12.5546875" style="7" hidden="1"/>
    <col min="26" max="26" width="9.6640625" style="75" customWidth="1"/>
    <col min="27" max="27" width="10.33203125" style="19" customWidth="1"/>
    <col min="28" max="28" width="11.5546875" style="61" customWidth="1"/>
    <col min="29" max="16384" width="12.5546875" style="7"/>
  </cols>
  <sheetData>
    <row r="1" spans="1:28" ht="14.55" customHeight="1" x14ac:dyDescent="0.3">
      <c r="A1" s="44"/>
      <c r="B1" s="44" t="str">
        <f ca="1">IFERROR(__xludf.DUMMYFUNCTION("""COMPUTED_VALUE"""),"SM")</f>
        <v>SM</v>
      </c>
      <c r="C1" s="44" t="str">
        <f ca="1">IFERROR(__xludf.DUMMYFUNCTION("""COMPUTED_VALUE"""),"SM Comments")</f>
        <v>SM Comments</v>
      </c>
      <c r="D1" s="44" t="str">
        <f ca="1">IFERROR(__xludf.DUMMYFUNCTION("""COMPUTED_VALUE"""),"Reg Date")</f>
        <v>Reg Date</v>
      </c>
      <c r="E1" s="45" t="str">
        <f ca="1">IFERROR(__xludf.DUMMYFUNCTION("""COMPUTED_VALUE"""),"Role")</f>
        <v>Role</v>
      </c>
      <c r="F1" s="44" t="str">
        <f ca="1">IFERROR(__xludf.DUMMYFUNCTION("""COMPUTED_VALUE"""),"Name")</f>
        <v>Name</v>
      </c>
      <c r="G1" s="45" t="str">
        <f ca="1">IFERROR(__xludf.DUMMYFUNCTION("""COMPUTED_VALUE"""),"FED")</f>
        <v>FED</v>
      </c>
      <c r="H1" s="44" t="str">
        <f ca="1">IFERROR(__xludf.DUMMYFUNCTION("""COMPUTED_VALUE"""),"ELO")</f>
        <v>ELO</v>
      </c>
      <c r="I1" s="44" t="str">
        <f ca="1">IFERROR(__xludf.DUMMYFUNCTION("""COMPUTED_VALUE"""),"Fees")</f>
        <v>Fees</v>
      </c>
      <c r="J1" s="44" t="str">
        <f ca="1">IFERROR(__xludf.DUMMYFUNCTION("""COMPUTED_VALUE"""),"Paid")</f>
        <v>Paid</v>
      </c>
      <c r="K1" s="44" t="str">
        <f ca="1">IFERROR(__xludf.DUMMYFUNCTION("""COMPUTED_VALUE"""),"Date")</f>
        <v>Date</v>
      </c>
      <c r="L1" s="44" t="str">
        <f ca="1">IFERROR(__xludf.DUMMYFUNCTION("""COMPUTED_VALUE"""),"CLUB")</f>
        <v>CLUB</v>
      </c>
      <c r="M1" s="45" t="str">
        <f ca="1">IFERROR(__xludf.DUMMYFUNCTION("""COMPUTED_VALUE"""),"Country")</f>
        <v>Country</v>
      </c>
      <c r="N1" s="45" t="s">
        <v>69</v>
      </c>
      <c r="O1" s="44" t="str">
        <f ca="1">IFERROR(__xludf.DUMMYFUNCTION("""COMPUTED_VALUE"""),"Room mate")</f>
        <v>Room mate</v>
      </c>
      <c r="P1" s="44" t="str">
        <f ca="1">IFERROR(__xludf.DUMMYFUNCTION("""COMPUTED_VALUE"""),"Price")</f>
        <v>Price</v>
      </c>
      <c r="Q1" s="44" t="str">
        <f ca="1">IFERROR(__xludf.DUMMYFUNCTION("""COMPUTED_VALUE"""),"Nights")</f>
        <v>Nights</v>
      </c>
      <c r="R1" s="44" t="str">
        <f ca="1">IFERROR(__xludf.DUMMYFUNCTION("""COMPUTED_VALUE"""),"Accomm EUR")</f>
        <v>Accomm EUR</v>
      </c>
      <c r="S1" s="44" t="str">
        <f ca="1">IFERROR(__xludf.DUMMYFUNCTION("""COMPUTED_VALUE"""),"Taxеs EUR")</f>
        <v>Taxеs EUR</v>
      </c>
      <c r="T1" s="44" t="str">
        <f ca="1">IFERROR(__xludf.DUMMYFUNCTION("""COMPUTED_VALUE"""),"IN TOTAL (EUR)")</f>
        <v>IN TOTAL (EUR)</v>
      </c>
      <c r="U1" s="44" t="str">
        <f ca="1">IFERROR(__xludf.DUMMYFUNCTION("""COMPUTED_VALUE"""),"Piad EUR")</f>
        <v>Piad EUR</v>
      </c>
      <c r="V1" s="44" t="str">
        <f ca="1">IFERROR(__xludf.DUMMYFUNCTION("""COMPUTED_VALUE"""),"Paid Date")</f>
        <v>Paid Date</v>
      </c>
      <c r="W1" s="44" t="str">
        <f ca="1">IFERROR(__xludf.DUMMYFUNCTION("""COMPUTED_VALUE"""),"Nikica potvrda")</f>
        <v>Nikica potvrda</v>
      </c>
      <c r="X1" s="44" t="str">
        <f ca="1">IFERROR(__xludf.DUMMYFUNCTION("""COMPUTED_VALUE"""),"Comments")</f>
        <v>Comments</v>
      </c>
      <c r="Y1" s="44"/>
      <c r="Z1" s="68" t="s">
        <v>16</v>
      </c>
      <c r="AA1" s="52" t="s">
        <v>67</v>
      </c>
      <c r="AB1" s="58" t="s">
        <v>68</v>
      </c>
    </row>
    <row r="2" spans="1:28" s="51" customFormat="1" ht="22.8" customHeight="1" x14ac:dyDescent="0.4">
      <c r="A2" s="48" t="s">
        <v>59</v>
      </c>
      <c r="B2" s="49"/>
      <c r="C2" s="49"/>
      <c r="D2" s="49"/>
      <c r="E2" s="50"/>
      <c r="F2" s="49"/>
      <c r="G2" s="50"/>
      <c r="H2" s="49"/>
      <c r="I2" s="49"/>
      <c r="J2" s="49"/>
      <c r="K2" s="49"/>
      <c r="L2" s="49"/>
      <c r="M2" s="50"/>
      <c r="N2" s="50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69"/>
      <c r="AA2" s="53"/>
      <c r="AB2" s="62"/>
    </row>
    <row r="3" spans="1:28" ht="14.55" customHeight="1" x14ac:dyDescent="0.3">
      <c r="A3" s="46">
        <v>1</v>
      </c>
      <c r="B3" s="46"/>
      <c r="C3" s="46"/>
      <c r="D3" s="46" t="str">
        <f ca="1">IFERROR(__xludf.DUMMYFUNCTION("""COMPUTED_VALUE"""),"15/08/2024")</f>
        <v>15/08/2024</v>
      </c>
      <c r="E3" s="47" t="str">
        <f ca="1">IFERROR(__xludf.DUMMYFUNCTION("""COMPUTED_VALUE"""),"Player")</f>
        <v>Player</v>
      </c>
      <c r="F3" s="46" t="str">
        <f ca="1">IFERROR(__xludf.DUMMYFUNCTION("""COMPUTED_VALUE"""),"Elmi, Saad Abobaker")</f>
        <v>Elmi, Saad Abobaker</v>
      </c>
      <c r="G3" s="47" t="str">
        <f ca="1">IFERROR(__xludf.DUMMYFUNCTION("""COMPUTED_VALUE"""),"NOR")</f>
        <v>NOR</v>
      </c>
      <c r="H3" s="46"/>
      <c r="I3" s="46">
        <f ca="1">IFERROR(__xludf.DUMMYFUNCTION("""COMPUTED_VALUE"""),100)</f>
        <v>100</v>
      </c>
      <c r="J3" s="46"/>
      <c r="K3" s="46"/>
      <c r="L3" s="46" t="str">
        <f ca="1">IFERROR(__xludf.DUMMYFUNCTION("""COMPUTED_VALUE"""),"Bærum Schakselskap")</f>
        <v>Bærum Schakselskap</v>
      </c>
      <c r="M3" s="47" t="str">
        <f ca="1">IFERROR(__xludf.DUMMYFUNCTION("""COMPUTED_VALUE"""),"NOR")</f>
        <v>NOR</v>
      </c>
      <c r="N3" s="47" t="str">
        <f ca="1">IFERROR(__xludf.DUMMYFUNCTION("""COMPUTED_VALUE"""),"Tonanti")</f>
        <v>Tonanti</v>
      </c>
      <c r="O3" s="46"/>
      <c r="P3" s="46">
        <f ca="1">IFERROR(__xludf.DUMMYFUNCTION("""COMPUTED_VALUE"""),108)</f>
        <v>108</v>
      </c>
      <c r="Q3" s="46">
        <f ca="1">IFERROR(__xludf.DUMMYFUNCTION("""COMPUTED_VALUE"""),8)</f>
        <v>8</v>
      </c>
      <c r="R3" s="46">
        <f ca="1">IFERROR(__xludf.DUMMYFUNCTION("""COMPUTED_VALUE"""),864)</f>
        <v>864</v>
      </c>
      <c r="S3" s="46">
        <f ca="1">IFERROR(__xludf.DUMMYFUNCTION("""COMPUTED_VALUE"""),12.8)</f>
        <v>12.8</v>
      </c>
      <c r="T3" s="46">
        <f ca="1">IFERROR(__xludf.DUMMYFUNCTION("""COMPUTED_VALUE"""),876.8)</f>
        <v>876.8</v>
      </c>
      <c r="U3" s="46"/>
      <c r="V3" s="46"/>
      <c r="W3" s="46"/>
      <c r="X3" s="46"/>
      <c r="Y3" s="46"/>
      <c r="Z3" s="54" t="str">
        <f ca="1">IFERROR(__xludf.DUMMYFUNCTION("""COMPUTED_VALUE"""),"KL1982")</f>
        <v>KL1982</v>
      </c>
      <c r="AA3" s="54" t="str">
        <f ca="1">IFERROR(__xludf.DUMMYFUNCTION("""COMPUTED_VALUE"""),"27/10/2024")</f>
        <v>27/10/2024</v>
      </c>
      <c r="AB3" s="63">
        <f ca="1">IFERROR(__xludf.DUMMYFUNCTION("""COMPUTED_VALUE"""),0.25)</f>
        <v>0.25</v>
      </c>
    </row>
    <row r="4" spans="1:28" ht="14.55" customHeight="1" x14ac:dyDescent="0.3">
      <c r="A4" s="8">
        <v>2</v>
      </c>
      <c r="B4" s="8"/>
      <c r="C4" s="8"/>
      <c r="D4" s="13">
        <f ca="1">IFERROR(__xludf.DUMMYFUNCTION("""COMPUTED_VALUE"""),45543)</f>
        <v>45543</v>
      </c>
      <c r="E4" s="16" t="str">
        <f ca="1">IFERROR(__xludf.DUMMYFUNCTION("""COMPUTED_VALUE"""),"Player")</f>
        <v>Player</v>
      </c>
      <c r="F4" s="8" t="str">
        <f ca="1">IFERROR(__xludf.DUMMYFUNCTION("""COMPUTED_VALUE"""),"Webb, Laurence E")</f>
        <v>Webb, Laurence E</v>
      </c>
      <c r="G4" s="16" t="str">
        <f ca="1">IFERROR(__xludf.DUMMYFUNCTION("""COMPUTED_VALUE"""),"ENG")</f>
        <v>ENG</v>
      </c>
      <c r="H4" s="8"/>
      <c r="I4" s="8">
        <f ca="1">IFERROR(__xludf.DUMMYFUNCTION("""COMPUTED_VALUE"""),100)</f>
        <v>100</v>
      </c>
      <c r="J4" s="8"/>
      <c r="K4" s="8"/>
      <c r="L4" s="8" t="str">
        <f ca="1">IFERROR(__xludf.DUMMYFUNCTION("""COMPUTED_VALUE"""),"Blackthorne")</f>
        <v>Blackthorne</v>
      </c>
      <c r="M4" s="16" t="str">
        <f ca="1">IFERROR(__xludf.DUMMYFUNCTION("""COMPUTED_VALUE"""),"ENG")</f>
        <v>ENG</v>
      </c>
      <c r="N4" s="16" t="str">
        <f ca="1">IFERROR(__xludf.DUMMYFUNCTION("""COMPUTED_VALUE"""),"Breza")</f>
        <v>Breza</v>
      </c>
      <c r="O4" s="8"/>
      <c r="P4" s="8">
        <f ca="1">IFERROR(__xludf.DUMMYFUNCTION("""COMPUTED_VALUE"""),82)</f>
        <v>82</v>
      </c>
      <c r="Q4" s="8">
        <f ca="1">IFERROR(__xludf.DUMMYFUNCTION("""COMPUTED_VALUE"""),8)</f>
        <v>8</v>
      </c>
      <c r="R4" s="8">
        <f ca="1">IFERROR(__xludf.DUMMYFUNCTION("""COMPUTED_VALUE"""),656)</f>
        <v>656</v>
      </c>
      <c r="S4" s="8">
        <f ca="1">IFERROR(__xludf.DUMMYFUNCTION("""COMPUTED_VALUE"""),12.8)</f>
        <v>12.8</v>
      </c>
      <c r="T4" s="8">
        <f ca="1">IFERROR(__xludf.DUMMYFUNCTION("""COMPUTED_VALUE"""),668.8)</f>
        <v>668.8</v>
      </c>
      <c r="U4" s="8"/>
      <c r="V4" s="8"/>
      <c r="W4" s="8"/>
      <c r="X4" s="8"/>
      <c r="Y4" s="8"/>
      <c r="Z4" s="37" t="str">
        <f ca="1">IFERROR(__xludf.DUMMYFUNCTION("""COMPUTED_VALUE"""),"W6 4115")</f>
        <v>W6 4115</v>
      </c>
      <c r="AA4" s="37" t="str">
        <f ca="1">IFERROR(__xludf.DUMMYFUNCTION("""COMPUTED_VALUE"""),"27/10/2024")</f>
        <v>27/10/2024</v>
      </c>
      <c r="AB4" s="64">
        <f ca="1">IFERROR(__xludf.DUMMYFUNCTION("""COMPUTED_VALUE"""),0.25)</f>
        <v>0.25</v>
      </c>
    </row>
    <row r="5" spans="1:28" ht="14.55" customHeight="1" x14ac:dyDescent="0.3">
      <c r="A5" s="8">
        <v>3</v>
      </c>
      <c r="B5" s="8"/>
      <c r="C5" s="8"/>
      <c r="D5" s="8" t="str">
        <f ca="1">IFERROR(__xludf.DUMMYFUNCTION("""COMPUTED_VALUE"""),"15/08/2024")</f>
        <v>15/08/2024</v>
      </c>
      <c r="E5" s="16" t="str">
        <f ca="1">IFERROR(__xludf.DUMMYFUNCTION("""COMPUTED_VALUE"""),"Player")</f>
        <v>Player</v>
      </c>
      <c r="F5" s="8" t="str">
        <f ca="1">IFERROR(__xludf.DUMMYFUNCTION("""COMPUTED_VALUE"""),"Baselmans, Luuk")</f>
        <v>Baselmans, Luuk</v>
      </c>
      <c r="G5" s="16" t="str">
        <f ca="1">IFERROR(__xludf.DUMMYFUNCTION("""COMPUTED_VALUE"""),"NED")</f>
        <v>NED</v>
      </c>
      <c r="H5" s="8"/>
      <c r="I5" s="8">
        <f ca="1">IFERROR(__xludf.DUMMYFUNCTION("""COMPUTED_VALUE"""),100)</f>
        <v>100</v>
      </c>
      <c r="J5" s="8"/>
      <c r="K5" s="8"/>
      <c r="L5" s="8" t="str">
        <f ca="1">IFERROR(__xludf.DUMMYFUNCTION("""COMPUTED_VALUE"""),"De Stukkenjagers")</f>
        <v>De Stukkenjagers</v>
      </c>
      <c r="M5" s="16" t="str">
        <f ca="1">IFERROR(__xludf.DUMMYFUNCTION("""COMPUTED_VALUE"""),"NED")</f>
        <v>NED</v>
      </c>
      <c r="N5" s="16" t="str">
        <f ca="1">IFERROR(__xludf.DUMMYFUNCTION("""COMPUTED_VALUE"""),"Fontana")</f>
        <v>Fontana</v>
      </c>
      <c r="O5" s="8"/>
      <c r="P5" s="8">
        <f ca="1">IFERROR(__xludf.DUMMYFUNCTION("""COMPUTED_VALUE"""),104)</f>
        <v>104</v>
      </c>
      <c r="Q5" s="8">
        <f ca="1">IFERROR(__xludf.DUMMYFUNCTION("""COMPUTED_VALUE"""),8)</f>
        <v>8</v>
      </c>
      <c r="R5" s="8">
        <f ca="1">IFERROR(__xludf.DUMMYFUNCTION("""COMPUTED_VALUE"""),832)</f>
        <v>832</v>
      </c>
      <c r="S5" s="8">
        <f ca="1">IFERROR(__xludf.DUMMYFUNCTION("""COMPUTED_VALUE"""),12.8)</f>
        <v>12.8</v>
      </c>
      <c r="T5" s="8">
        <f ca="1">IFERROR(__xludf.DUMMYFUNCTION("""COMPUTED_VALUE"""),844.8)</f>
        <v>844.8</v>
      </c>
      <c r="U5" s="8"/>
      <c r="V5" s="8"/>
      <c r="W5" s="8"/>
      <c r="X5" s="8"/>
      <c r="Y5" s="8"/>
      <c r="Z5" s="37" t="str">
        <f ca="1">IFERROR(__xludf.DUMMYFUNCTION("""COMPUTED_VALUE"""),"KL1982")</f>
        <v>KL1982</v>
      </c>
      <c r="AA5" s="37" t="str">
        <f ca="1">IFERROR(__xludf.DUMMYFUNCTION("""COMPUTED_VALUE"""),"27/10/2024")</f>
        <v>27/10/2024</v>
      </c>
      <c r="AB5" s="64">
        <f ca="1">IFERROR(__xludf.DUMMYFUNCTION("""COMPUTED_VALUE"""),0.25)</f>
        <v>0.25</v>
      </c>
    </row>
    <row r="6" spans="1:28" ht="14.55" customHeight="1" x14ac:dyDescent="0.3">
      <c r="A6" s="8">
        <v>4</v>
      </c>
      <c r="B6" s="8"/>
      <c r="C6" s="8"/>
      <c r="D6" s="8" t="str">
        <f ca="1">IFERROR(__xludf.DUMMYFUNCTION("""COMPUTED_VALUE"""),"15/08/2024")</f>
        <v>15/08/2024</v>
      </c>
      <c r="E6" s="16" t="str">
        <f ca="1">IFERROR(__xludf.DUMMYFUNCTION("""COMPUTED_VALUE"""),"Player")</f>
        <v>Player</v>
      </c>
      <c r="F6" s="8" t="str">
        <f ca="1">IFERROR(__xludf.DUMMYFUNCTION("""COMPUTED_VALUE"""),"Baselmans, Sam")</f>
        <v>Baselmans, Sam</v>
      </c>
      <c r="G6" s="16" t="str">
        <f ca="1">IFERROR(__xludf.DUMMYFUNCTION("""COMPUTED_VALUE"""),"NED")</f>
        <v>NED</v>
      </c>
      <c r="H6" s="8"/>
      <c r="I6" s="8">
        <f ca="1">IFERROR(__xludf.DUMMYFUNCTION("""COMPUTED_VALUE"""),100)</f>
        <v>100</v>
      </c>
      <c r="J6" s="8"/>
      <c r="K6" s="8"/>
      <c r="L6" s="8" t="str">
        <f ca="1">IFERROR(__xludf.DUMMYFUNCTION("""COMPUTED_VALUE"""),"De Stukkenjagers")</f>
        <v>De Stukkenjagers</v>
      </c>
      <c r="M6" s="16" t="str">
        <f ca="1">IFERROR(__xludf.DUMMYFUNCTION("""COMPUTED_VALUE"""),"NED")</f>
        <v>NED</v>
      </c>
      <c r="N6" s="16" t="str">
        <f ca="1">IFERROR(__xludf.DUMMYFUNCTION("""COMPUTED_VALUE"""),"Fontana")</f>
        <v>Fontana</v>
      </c>
      <c r="O6" s="8"/>
      <c r="P6" s="8">
        <f ca="1">IFERROR(__xludf.DUMMYFUNCTION("""COMPUTED_VALUE"""),104)</f>
        <v>104</v>
      </c>
      <c r="Q6" s="8">
        <f ca="1">IFERROR(__xludf.DUMMYFUNCTION("""COMPUTED_VALUE"""),8)</f>
        <v>8</v>
      </c>
      <c r="R6" s="8">
        <f ca="1">IFERROR(__xludf.DUMMYFUNCTION("""COMPUTED_VALUE"""),832)</f>
        <v>832</v>
      </c>
      <c r="S6" s="8">
        <f ca="1">IFERROR(__xludf.DUMMYFUNCTION("""COMPUTED_VALUE"""),12.8)</f>
        <v>12.8</v>
      </c>
      <c r="T6" s="8">
        <f ca="1">IFERROR(__xludf.DUMMYFUNCTION("""COMPUTED_VALUE"""),844.8)</f>
        <v>844.8</v>
      </c>
      <c r="U6" s="8"/>
      <c r="V6" s="8"/>
      <c r="W6" s="8"/>
      <c r="X6" s="8"/>
      <c r="Y6" s="8"/>
      <c r="Z6" s="37" t="str">
        <f ca="1">IFERROR(__xludf.DUMMYFUNCTION("""COMPUTED_VALUE"""),"KL1982")</f>
        <v>KL1982</v>
      </c>
      <c r="AA6" s="37" t="str">
        <f ca="1">IFERROR(__xludf.DUMMYFUNCTION("""COMPUTED_VALUE"""),"27/10/2024")</f>
        <v>27/10/2024</v>
      </c>
      <c r="AB6" s="64">
        <f ca="1">IFERROR(__xludf.DUMMYFUNCTION("""COMPUTED_VALUE"""),0.25)</f>
        <v>0.25</v>
      </c>
    </row>
    <row r="7" spans="1:28" ht="14.55" customHeight="1" x14ac:dyDescent="0.3">
      <c r="A7" s="8">
        <v>5</v>
      </c>
      <c r="B7" s="8"/>
      <c r="C7" s="8"/>
      <c r="D7" s="8" t="str">
        <f ca="1">IFERROR(__xludf.DUMMYFUNCTION("""COMPUTED_VALUE"""),"15/08/2024")</f>
        <v>15/08/2024</v>
      </c>
      <c r="E7" s="16" t="str">
        <f ca="1">IFERROR(__xludf.DUMMYFUNCTION("""COMPUTED_VALUE"""),"Player")</f>
        <v>Player</v>
      </c>
      <c r="F7" s="8" t="str">
        <f ca="1">IFERROR(__xludf.DUMMYFUNCTION("""COMPUTED_VALUE"""),"Bokorovics, Bertalan")</f>
        <v>Bokorovics, Bertalan</v>
      </c>
      <c r="G7" s="16" t="str">
        <f ca="1">IFERROR(__xludf.DUMMYFUNCTION("""COMPUTED_VALUE"""),"HUN")</f>
        <v>HUN</v>
      </c>
      <c r="H7" s="8"/>
      <c r="I7" s="8">
        <f ca="1">IFERROR(__xludf.DUMMYFUNCTION("""COMPUTED_VALUE"""),100)</f>
        <v>100</v>
      </c>
      <c r="J7" s="8"/>
      <c r="K7" s="8"/>
      <c r="L7" s="8" t="str">
        <f ca="1">IFERROR(__xludf.DUMMYFUNCTION("""COMPUTED_VALUE"""),"De Stukkenjagers")</f>
        <v>De Stukkenjagers</v>
      </c>
      <c r="M7" s="16" t="str">
        <f ca="1">IFERROR(__xludf.DUMMYFUNCTION("""COMPUTED_VALUE"""),"NED")</f>
        <v>NED</v>
      </c>
      <c r="N7" s="16" t="str">
        <f ca="1">IFERROR(__xludf.DUMMYFUNCTION("""COMPUTED_VALUE"""),"Fontana")</f>
        <v>Fontana</v>
      </c>
      <c r="O7" s="8"/>
      <c r="P7" s="8">
        <f ca="1">IFERROR(__xludf.DUMMYFUNCTION("""COMPUTED_VALUE"""),104)</f>
        <v>104</v>
      </c>
      <c r="Q7" s="8">
        <f ca="1">IFERROR(__xludf.DUMMYFUNCTION("""COMPUTED_VALUE"""),8)</f>
        <v>8</v>
      </c>
      <c r="R7" s="8">
        <f ca="1">IFERROR(__xludf.DUMMYFUNCTION("""COMPUTED_VALUE"""),832)</f>
        <v>832</v>
      </c>
      <c r="S7" s="8">
        <f ca="1">IFERROR(__xludf.DUMMYFUNCTION("""COMPUTED_VALUE"""),12.8)</f>
        <v>12.8</v>
      </c>
      <c r="T7" s="8">
        <f ca="1">IFERROR(__xludf.DUMMYFUNCTION("""COMPUTED_VALUE"""),844.8)</f>
        <v>844.8</v>
      </c>
      <c r="U7" s="8"/>
      <c r="V7" s="8"/>
      <c r="W7" s="8"/>
      <c r="X7" s="8"/>
      <c r="Y7" s="8"/>
      <c r="Z7" s="37" t="str">
        <f ca="1">IFERROR(__xludf.DUMMYFUNCTION("""COMPUTED_VALUE"""),"KL1982")</f>
        <v>KL1982</v>
      </c>
      <c r="AA7" s="37" t="str">
        <f ca="1">IFERROR(__xludf.DUMMYFUNCTION("""COMPUTED_VALUE"""),"27/10/2024")</f>
        <v>27/10/2024</v>
      </c>
      <c r="AB7" s="64">
        <f ca="1">IFERROR(__xludf.DUMMYFUNCTION("""COMPUTED_VALUE"""),0.25)</f>
        <v>0.25</v>
      </c>
    </row>
    <row r="8" spans="1:28" ht="14.55" customHeight="1" x14ac:dyDescent="0.3">
      <c r="A8" s="8">
        <v>6</v>
      </c>
      <c r="B8" s="8"/>
      <c r="C8" s="8"/>
      <c r="D8" s="8" t="str">
        <f ca="1">IFERROR(__xludf.DUMMYFUNCTION("""COMPUTED_VALUE"""),"20/07/2024")</f>
        <v>20/07/2024</v>
      </c>
      <c r="E8" s="16" t="str">
        <f ca="1">IFERROR(__xludf.DUMMYFUNCTION("""COMPUTED_VALUE"""),"Player")</f>
        <v>Player</v>
      </c>
      <c r="F8" s="8" t="str">
        <f ca="1">IFERROR(__xludf.DUMMYFUNCTION("""COMPUTED_VALUE"""),"Nemeth, Zalan")</f>
        <v>Nemeth, Zalan</v>
      </c>
      <c r="G8" s="16" t="str">
        <f ca="1">IFERROR(__xludf.DUMMYFUNCTION("""COMPUTED_VALUE"""),"IRL")</f>
        <v>IRL</v>
      </c>
      <c r="H8" s="8"/>
      <c r="I8" s="8">
        <f ca="1">IFERROR(__xludf.DUMMYFUNCTION("""COMPUTED_VALUE"""),100)</f>
        <v>100</v>
      </c>
      <c r="J8" s="8"/>
      <c r="K8" s="8"/>
      <c r="L8" s="8" t="str">
        <f ca="1">IFERROR(__xludf.DUMMYFUNCTION("""COMPUTED_VALUE"""),"Ennis Chess Club")</f>
        <v>Ennis Chess Club</v>
      </c>
      <c r="M8" s="16" t="str">
        <f ca="1">IFERROR(__xludf.DUMMYFUNCTION("""COMPUTED_VALUE"""),"IRL")</f>
        <v>IRL</v>
      </c>
      <c r="N8" s="16" t="str">
        <f ca="1">IFERROR(__xludf.DUMMYFUNCTION("""COMPUTED_VALUE"""),"Zepter")</f>
        <v>Zepter</v>
      </c>
      <c r="O8" s="8"/>
      <c r="P8" s="8">
        <f ca="1">IFERROR(__xludf.DUMMYFUNCTION("""COMPUTED_VALUE"""),104)</f>
        <v>104</v>
      </c>
      <c r="Q8" s="8">
        <f ca="1">IFERROR(__xludf.DUMMYFUNCTION("""COMPUTED_VALUE"""),8)</f>
        <v>8</v>
      </c>
      <c r="R8" s="8">
        <f ca="1">IFERROR(__xludf.DUMMYFUNCTION("""COMPUTED_VALUE"""),832)</f>
        <v>832</v>
      </c>
      <c r="S8" s="8">
        <f ca="1">IFERROR(__xludf.DUMMYFUNCTION("""COMPUTED_VALUE"""),12.8)</f>
        <v>12.8</v>
      </c>
      <c r="T8" s="8">
        <f ca="1">IFERROR(__xludf.DUMMYFUNCTION("""COMPUTED_VALUE"""),844.8)</f>
        <v>844.8</v>
      </c>
      <c r="U8" s="8"/>
      <c r="V8" s="8"/>
      <c r="W8" s="8"/>
      <c r="X8" s="8"/>
      <c r="Y8" s="8"/>
      <c r="Z8" s="37" t="str">
        <f ca="1">IFERROR(__xludf.DUMMYFUNCTION("""COMPUTED_VALUE"""),"W64115")</f>
        <v>W64115</v>
      </c>
      <c r="AA8" s="37" t="str">
        <f ca="1">IFERROR(__xludf.DUMMYFUNCTION("""COMPUTED_VALUE"""),"27/10/2024")</f>
        <v>27/10/2024</v>
      </c>
      <c r="AB8" s="64">
        <f ca="1">IFERROR(__xludf.DUMMYFUNCTION("""COMPUTED_VALUE"""),0.25)</f>
        <v>0.25</v>
      </c>
    </row>
    <row r="9" spans="1:28" ht="14.55" customHeight="1" x14ac:dyDescent="0.3">
      <c r="A9" s="8">
        <v>7</v>
      </c>
      <c r="B9" s="8"/>
      <c r="C9" s="8"/>
      <c r="D9" s="13">
        <f ca="1">IFERROR(__xludf.DUMMYFUNCTION("""COMPUTED_VALUE"""),45542)</f>
        <v>45542</v>
      </c>
      <c r="E9" s="16" t="str">
        <f ca="1">IFERROR(__xludf.DUMMYFUNCTION("""COMPUTED_VALUE"""),"Player")</f>
        <v>Player</v>
      </c>
      <c r="F9" s="8" t="str">
        <f ca="1">IFERROR(__xludf.DUMMYFUNCTION("""COMPUTED_VALUE"""),"Godart, Francois")</f>
        <v>Godart, Francois</v>
      </c>
      <c r="G9" s="16" t="str">
        <f ca="1">IFERROR(__xludf.DUMMYFUNCTION("""COMPUTED_VALUE"""),"BEL")</f>
        <v>BEL</v>
      </c>
      <c r="H9" s="8"/>
      <c r="I9" s="8">
        <f ca="1">IFERROR(__xludf.DUMMYFUNCTION("""COMPUTED_VALUE"""),100)</f>
        <v>100</v>
      </c>
      <c r="J9" s="8"/>
      <c r="K9" s="8"/>
      <c r="L9" s="8" t="str">
        <f ca="1">IFERROR(__xludf.DUMMYFUNCTION("""COMPUTED_VALUE"""),"Gambit Bonnevoie I")</f>
        <v>Gambit Bonnevoie I</v>
      </c>
      <c r="M9" s="16" t="str">
        <f ca="1">IFERROR(__xludf.DUMMYFUNCTION("""COMPUTED_VALUE"""),"LUX")</f>
        <v>LUX</v>
      </c>
      <c r="N9" s="16" t="str">
        <f ca="1">IFERROR(__xludf.DUMMYFUNCTION("""COMPUTED_VALUE"""),"Fontana")</f>
        <v>Fontana</v>
      </c>
      <c r="O9" s="8"/>
      <c r="P9" s="8">
        <f ca="1">IFERROR(__xludf.DUMMYFUNCTION("""COMPUTED_VALUE"""),104)</f>
        <v>104</v>
      </c>
      <c r="Q9" s="8">
        <f ca="1">IFERROR(__xludf.DUMMYFUNCTION("""COMPUTED_VALUE"""),8)</f>
        <v>8</v>
      </c>
      <c r="R9" s="8">
        <f ca="1">IFERROR(__xludf.DUMMYFUNCTION("""COMPUTED_VALUE"""),832)</f>
        <v>832</v>
      </c>
      <c r="S9" s="8">
        <f ca="1">IFERROR(__xludf.DUMMYFUNCTION("""COMPUTED_VALUE"""),12.8)</f>
        <v>12.8</v>
      </c>
      <c r="T9" s="8">
        <f ca="1">IFERROR(__xludf.DUMMYFUNCTION("""COMPUTED_VALUE"""),844.8)</f>
        <v>844.8</v>
      </c>
      <c r="U9" s="8"/>
      <c r="V9" s="8"/>
      <c r="W9" s="8"/>
      <c r="X9" s="8"/>
      <c r="Y9" s="8"/>
      <c r="Z9" s="37" t="str">
        <f ca="1">IFERROR(__xludf.DUMMYFUNCTION("""COMPUTED_VALUE"""),"KL 1982")</f>
        <v>KL 1982</v>
      </c>
      <c r="AA9" s="37" t="str">
        <f ca="1">IFERROR(__xludf.DUMMYFUNCTION("""COMPUTED_VALUE"""),"27/10/2024")</f>
        <v>27/10/2024</v>
      </c>
      <c r="AB9" s="64">
        <f ca="1">IFERROR(__xludf.DUMMYFUNCTION("""COMPUTED_VALUE"""),0.25)</f>
        <v>0.25</v>
      </c>
    </row>
    <row r="10" spans="1:28" ht="14.55" customHeight="1" x14ac:dyDescent="0.3">
      <c r="A10" s="8">
        <v>8</v>
      </c>
      <c r="B10" s="8"/>
      <c r="C10" s="8"/>
      <c r="D10" s="8" t="str">
        <f ca="1">IFERROR(__xludf.DUMMYFUNCTION("""COMPUTED_VALUE"""),"21/07/2024")</f>
        <v>21/07/2024</v>
      </c>
      <c r="E10" s="16" t="str">
        <f ca="1">IFERROR(__xludf.DUMMYFUNCTION("""COMPUTED_VALUE"""),"Player")</f>
        <v>Player</v>
      </c>
      <c r="F10" s="8" t="str">
        <f ca="1">IFERROR(__xludf.DUMMYFUNCTION("""COMPUTED_VALUE"""),"Leenhouts, Koen")</f>
        <v>Leenhouts, Koen</v>
      </c>
      <c r="G10" s="16" t="str">
        <f ca="1">IFERROR(__xludf.DUMMYFUNCTION("""COMPUTED_VALUE"""),"NED")</f>
        <v>NED</v>
      </c>
      <c r="H10" s="8"/>
      <c r="I10" s="8">
        <f ca="1">IFERROR(__xludf.DUMMYFUNCTION("""COMPUTED_VALUE"""),100)</f>
        <v>100</v>
      </c>
      <c r="J10" s="8"/>
      <c r="K10" s="8"/>
      <c r="L10" s="8" t="str">
        <f ca="1">IFERROR(__xludf.DUMMYFUNCTION("""COMPUTED_VALUE"""),"KBSK Brugge")</f>
        <v>KBSK Brugge</v>
      </c>
      <c r="M10" s="16" t="str">
        <f ca="1">IFERROR(__xludf.DUMMYFUNCTION("""COMPUTED_VALUE"""),"BEL")</f>
        <v>BEL</v>
      </c>
      <c r="N10" s="16" t="str">
        <f ca="1">IFERROR(__xludf.DUMMYFUNCTION("""COMPUTED_VALUE"""),"Zepter")</f>
        <v>Zepter</v>
      </c>
      <c r="O10" s="8"/>
      <c r="P10" s="8">
        <f ca="1">IFERROR(__xludf.DUMMYFUNCTION("""COMPUTED_VALUE"""),104)</f>
        <v>104</v>
      </c>
      <c r="Q10" s="8">
        <f ca="1">IFERROR(__xludf.DUMMYFUNCTION("""COMPUTED_VALUE"""),8)</f>
        <v>8</v>
      </c>
      <c r="R10" s="8">
        <f ca="1">IFERROR(__xludf.DUMMYFUNCTION("""COMPUTED_VALUE"""),832)</f>
        <v>832</v>
      </c>
      <c r="S10" s="8">
        <f ca="1">IFERROR(__xludf.DUMMYFUNCTION("""COMPUTED_VALUE"""),12.8)</f>
        <v>12.8</v>
      </c>
      <c r="T10" s="8">
        <f ca="1">IFERROR(__xludf.DUMMYFUNCTION("""COMPUTED_VALUE"""),844.8)</f>
        <v>844.8</v>
      </c>
      <c r="U10" s="8"/>
      <c r="V10" s="8"/>
      <c r="W10" s="8"/>
      <c r="X10" s="8"/>
      <c r="Y10" s="8"/>
      <c r="Z10" s="37" t="str">
        <f ca="1">IFERROR(__xludf.DUMMYFUNCTION("""COMPUTED_VALUE"""),"KL1982")</f>
        <v>KL1982</v>
      </c>
      <c r="AA10" s="37" t="str">
        <f ca="1">IFERROR(__xludf.DUMMYFUNCTION("""COMPUTED_VALUE"""),"27/10/2024")</f>
        <v>27/10/2024</v>
      </c>
      <c r="AB10" s="64">
        <f ca="1">IFERROR(__xludf.DUMMYFUNCTION("""COMPUTED_VALUE"""),0.25)</f>
        <v>0.25</v>
      </c>
    </row>
    <row r="11" spans="1:28" ht="14.55" customHeight="1" x14ac:dyDescent="0.3">
      <c r="A11" s="8">
        <v>9</v>
      </c>
      <c r="B11" s="8"/>
      <c r="C11" s="8"/>
      <c r="D11" s="8" t="str">
        <f ca="1">IFERROR(__xludf.DUMMYFUNCTION("""COMPUTED_VALUE"""),"21/07/2024")</f>
        <v>21/07/2024</v>
      </c>
      <c r="E11" s="16" t="str">
        <f ca="1">IFERROR(__xludf.DUMMYFUNCTION("""COMPUTED_VALUE"""),"Player")</f>
        <v>Player</v>
      </c>
      <c r="F11" s="8" t="str">
        <f ca="1">IFERROR(__xludf.DUMMYFUNCTION("""COMPUTED_VALUE"""),"Geirnaert, Steven")</f>
        <v>Geirnaert, Steven</v>
      </c>
      <c r="G11" s="16" t="str">
        <f ca="1">IFERROR(__xludf.DUMMYFUNCTION("""COMPUTED_VALUE"""),"BEL")</f>
        <v>BEL</v>
      </c>
      <c r="H11" s="8"/>
      <c r="I11" s="8">
        <f ca="1">IFERROR(__xludf.DUMMYFUNCTION("""COMPUTED_VALUE"""),100)</f>
        <v>100</v>
      </c>
      <c r="J11" s="8"/>
      <c r="K11" s="8"/>
      <c r="L11" s="8" t="str">
        <f ca="1">IFERROR(__xludf.DUMMYFUNCTION("""COMPUTED_VALUE"""),"KBSK Brugge")</f>
        <v>KBSK Brugge</v>
      </c>
      <c r="M11" s="16" t="str">
        <f ca="1">IFERROR(__xludf.DUMMYFUNCTION("""COMPUTED_VALUE"""),"BEL")</f>
        <v>BEL</v>
      </c>
      <c r="N11" s="16" t="str">
        <f ca="1">IFERROR(__xludf.DUMMYFUNCTION("""COMPUTED_VALUE"""),"Zepter")</f>
        <v>Zepter</v>
      </c>
      <c r="O11" s="8"/>
      <c r="P11" s="8">
        <f ca="1">IFERROR(__xludf.DUMMYFUNCTION("""COMPUTED_VALUE"""),104)</f>
        <v>104</v>
      </c>
      <c r="Q11" s="8">
        <f ca="1">IFERROR(__xludf.DUMMYFUNCTION("""COMPUTED_VALUE"""),8)</f>
        <v>8</v>
      </c>
      <c r="R11" s="8">
        <f ca="1">IFERROR(__xludf.DUMMYFUNCTION("""COMPUTED_VALUE"""),832)</f>
        <v>832</v>
      </c>
      <c r="S11" s="8">
        <f ca="1">IFERROR(__xludf.DUMMYFUNCTION("""COMPUTED_VALUE"""),12.8)</f>
        <v>12.8</v>
      </c>
      <c r="T11" s="8">
        <f ca="1">IFERROR(__xludf.DUMMYFUNCTION("""COMPUTED_VALUE"""),844.8)</f>
        <v>844.8</v>
      </c>
      <c r="U11" s="8"/>
      <c r="V11" s="8"/>
      <c r="W11" s="8"/>
      <c r="X11" s="8"/>
      <c r="Y11" s="8"/>
      <c r="Z11" s="37" t="str">
        <f ca="1">IFERROR(__xludf.DUMMYFUNCTION("""COMPUTED_VALUE"""),"KL1982")</f>
        <v>KL1982</v>
      </c>
      <c r="AA11" s="37" t="str">
        <f ca="1">IFERROR(__xludf.DUMMYFUNCTION("""COMPUTED_VALUE"""),"27/10/2024")</f>
        <v>27/10/2024</v>
      </c>
      <c r="AB11" s="64">
        <f ca="1">IFERROR(__xludf.DUMMYFUNCTION("""COMPUTED_VALUE"""),0.25)</f>
        <v>0.25</v>
      </c>
    </row>
    <row r="12" spans="1:28" ht="14.55" customHeight="1" x14ac:dyDescent="0.3">
      <c r="A12" s="8">
        <v>10</v>
      </c>
      <c r="B12" s="8"/>
      <c r="C12" s="8"/>
      <c r="D12" s="8" t="str">
        <f ca="1">IFERROR(__xludf.DUMMYFUNCTION("""COMPUTED_VALUE"""),"21/07/2024")</f>
        <v>21/07/2024</v>
      </c>
      <c r="E12" s="16" t="str">
        <f ca="1">IFERROR(__xludf.DUMMYFUNCTION("""COMPUTED_VALUE"""),"Player")</f>
        <v>Player</v>
      </c>
      <c r="F12" s="8" t="str">
        <f ca="1">IFERROR(__xludf.DUMMYFUNCTION("""COMPUTED_VALUE"""),"Decoster, Frederic")</f>
        <v>Decoster, Frederic</v>
      </c>
      <c r="G12" s="16" t="str">
        <f ca="1">IFERROR(__xludf.DUMMYFUNCTION("""COMPUTED_VALUE"""),"BEL")</f>
        <v>BEL</v>
      </c>
      <c r="H12" s="8"/>
      <c r="I12" s="8">
        <f ca="1">IFERROR(__xludf.DUMMYFUNCTION("""COMPUTED_VALUE"""),100)</f>
        <v>100</v>
      </c>
      <c r="J12" s="8"/>
      <c r="K12" s="8"/>
      <c r="L12" s="8" t="str">
        <f ca="1">IFERROR(__xludf.DUMMYFUNCTION("""COMPUTED_VALUE"""),"KBSK Brugge")</f>
        <v>KBSK Brugge</v>
      </c>
      <c r="M12" s="16" t="str">
        <f ca="1">IFERROR(__xludf.DUMMYFUNCTION("""COMPUTED_VALUE"""),"BEL")</f>
        <v>BEL</v>
      </c>
      <c r="N12" s="16" t="str">
        <f ca="1">IFERROR(__xludf.DUMMYFUNCTION("""COMPUTED_VALUE"""),"Zepter")</f>
        <v>Zepter</v>
      </c>
      <c r="O12" s="8" t="str">
        <f ca="1">IFERROR(__xludf.DUMMYFUNCTION("""COMPUTED_VALUE"""),"Mark Dechamps (KOSK Oostende)")</f>
        <v>Mark Dechamps (KOSK Oostende)</v>
      </c>
      <c r="P12" s="8">
        <f ca="1">IFERROR(__xludf.DUMMYFUNCTION("""COMPUTED_VALUE"""),82)</f>
        <v>82</v>
      </c>
      <c r="Q12" s="8">
        <f ca="1">IFERROR(__xludf.DUMMYFUNCTION("""COMPUTED_VALUE"""),8)</f>
        <v>8</v>
      </c>
      <c r="R12" s="8">
        <f ca="1">IFERROR(__xludf.DUMMYFUNCTION("""COMPUTED_VALUE"""),656)</f>
        <v>656</v>
      </c>
      <c r="S12" s="8">
        <f ca="1">IFERROR(__xludf.DUMMYFUNCTION("""COMPUTED_VALUE"""),12.8)</f>
        <v>12.8</v>
      </c>
      <c r="T12" s="8">
        <f ca="1">IFERROR(__xludf.DUMMYFUNCTION("""COMPUTED_VALUE"""),668.8)</f>
        <v>668.8</v>
      </c>
      <c r="U12" s="8"/>
      <c r="V12" s="8"/>
      <c r="W12" s="8"/>
      <c r="X12" s="8"/>
      <c r="Y12" s="8"/>
      <c r="Z12" s="37" t="str">
        <f ca="1">IFERROR(__xludf.DUMMYFUNCTION("""COMPUTED_VALUE"""),"KL1982")</f>
        <v>KL1982</v>
      </c>
      <c r="AA12" s="37" t="str">
        <f ca="1">IFERROR(__xludf.DUMMYFUNCTION("""COMPUTED_VALUE"""),"27/10/2024")</f>
        <v>27/10/2024</v>
      </c>
      <c r="AB12" s="64">
        <f ca="1">IFERROR(__xludf.DUMMYFUNCTION("""COMPUTED_VALUE"""),0.25)</f>
        <v>0.25</v>
      </c>
    </row>
    <row r="13" spans="1:28" ht="14.55" customHeight="1" x14ac:dyDescent="0.3">
      <c r="A13" s="8">
        <v>11</v>
      </c>
      <c r="B13" s="8"/>
      <c r="C13" s="8"/>
      <c r="D13" s="8" t="str">
        <f ca="1">IFERROR(__xludf.DUMMYFUNCTION("""COMPUTED_VALUE"""),"21/07/2024")</f>
        <v>21/07/2024</v>
      </c>
      <c r="E13" s="16" t="str">
        <f ca="1">IFERROR(__xludf.DUMMYFUNCTION("""COMPUTED_VALUE"""),"Player")</f>
        <v>Player</v>
      </c>
      <c r="F13" s="8" t="str">
        <f ca="1">IFERROR(__xludf.DUMMYFUNCTION("""COMPUTED_VALUE"""),"Vantorre, Nils")</f>
        <v>Vantorre, Nils</v>
      </c>
      <c r="G13" s="16" t="str">
        <f ca="1">IFERROR(__xludf.DUMMYFUNCTION("""COMPUTED_VALUE"""),"BEL")</f>
        <v>BEL</v>
      </c>
      <c r="H13" s="8"/>
      <c r="I13" s="8">
        <f ca="1">IFERROR(__xludf.DUMMYFUNCTION("""COMPUTED_VALUE"""),100)</f>
        <v>100</v>
      </c>
      <c r="J13" s="8"/>
      <c r="K13" s="8"/>
      <c r="L13" s="8" t="str">
        <f ca="1">IFERROR(__xludf.DUMMYFUNCTION("""COMPUTED_VALUE"""),"KBSK Brugge")</f>
        <v>KBSK Brugge</v>
      </c>
      <c r="M13" s="16" t="str">
        <f ca="1">IFERROR(__xludf.DUMMYFUNCTION("""COMPUTED_VALUE"""),"BEL")</f>
        <v>BEL</v>
      </c>
      <c r="N13" s="16" t="str">
        <f ca="1">IFERROR(__xludf.DUMMYFUNCTION("""COMPUTED_VALUE"""),"Zepter")</f>
        <v>Zepter</v>
      </c>
      <c r="O13" s="8"/>
      <c r="P13" s="8">
        <f ca="1">IFERROR(__xludf.DUMMYFUNCTION("""COMPUTED_VALUE"""),104)</f>
        <v>104</v>
      </c>
      <c r="Q13" s="8">
        <f ca="1">IFERROR(__xludf.DUMMYFUNCTION("""COMPUTED_VALUE"""),8)</f>
        <v>8</v>
      </c>
      <c r="R13" s="8">
        <f ca="1">IFERROR(__xludf.DUMMYFUNCTION("""COMPUTED_VALUE"""),832)</f>
        <v>832</v>
      </c>
      <c r="S13" s="8">
        <f ca="1">IFERROR(__xludf.DUMMYFUNCTION("""COMPUTED_VALUE"""),12.8)</f>
        <v>12.8</v>
      </c>
      <c r="T13" s="8">
        <f ca="1">IFERROR(__xludf.DUMMYFUNCTION("""COMPUTED_VALUE"""),844.8)</f>
        <v>844.8</v>
      </c>
      <c r="U13" s="8"/>
      <c r="V13" s="8"/>
      <c r="W13" s="8"/>
      <c r="X13" s="8"/>
      <c r="Y13" s="8"/>
      <c r="Z13" s="37" t="str">
        <f ca="1">IFERROR(__xludf.DUMMYFUNCTION("""COMPUTED_VALUE"""),"KL1982")</f>
        <v>KL1982</v>
      </c>
      <c r="AA13" s="37" t="str">
        <f ca="1">IFERROR(__xludf.DUMMYFUNCTION("""COMPUTED_VALUE"""),"27/10/2024")</f>
        <v>27/10/2024</v>
      </c>
      <c r="AB13" s="64">
        <f ca="1">IFERROR(__xludf.DUMMYFUNCTION("""COMPUTED_VALUE"""),0.25)</f>
        <v>0.25</v>
      </c>
    </row>
    <row r="14" spans="1:28" ht="14.55" customHeight="1" x14ac:dyDescent="0.3">
      <c r="A14" s="8">
        <v>12</v>
      </c>
      <c r="B14" s="8"/>
      <c r="C14" s="8"/>
      <c r="D14" s="8" t="str">
        <f ca="1">IFERROR(__xludf.DUMMYFUNCTION("""COMPUTED_VALUE"""),"21/07/2024")</f>
        <v>21/07/2024</v>
      </c>
      <c r="E14" s="16" t="str">
        <f ca="1">IFERROR(__xludf.DUMMYFUNCTION("""COMPUTED_VALUE"""),"Player")</f>
        <v>Player</v>
      </c>
      <c r="F14" s="8" t="str">
        <f ca="1">IFERROR(__xludf.DUMMYFUNCTION("""COMPUTED_VALUE"""),"Piceu, Tom")</f>
        <v>Piceu, Tom</v>
      </c>
      <c r="G14" s="16" t="str">
        <f ca="1">IFERROR(__xludf.DUMMYFUNCTION("""COMPUTED_VALUE"""),"BEL")</f>
        <v>BEL</v>
      </c>
      <c r="H14" s="8"/>
      <c r="I14" s="8">
        <f ca="1">IFERROR(__xludf.DUMMYFUNCTION("""COMPUTED_VALUE"""),100)</f>
        <v>100</v>
      </c>
      <c r="J14" s="8"/>
      <c r="K14" s="8"/>
      <c r="L14" s="8" t="str">
        <f ca="1">IFERROR(__xludf.DUMMYFUNCTION("""COMPUTED_VALUE"""),"KBSK Brugge")</f>
        <v>KBSK Brugge</v>
      </c>
      <c r="M14" s="16" t="str">
        <f ca="1">IFERROR(__xludf.DUMMYFUNCTION("""COMPUTED_VALUE"""),"BEL")</f>
        <v>BEL</v>
      </c>
      <c r="N14" s="16" t="str">
        <f ca="1">IFERROR(__xludf.DUMMYFUNCTION("""COMPUTED_VALUE"""),"Zepter")</f>
        <v>Zepter</v>
      </c>
      <c r="O14" s="8"/>
      <c r="P14" s="8">
        <f ca="1">IFERROR(__xludf.DUMMYFUNCTION("""COMPUTED_VALUE"""),104)</f>
        <v>104</v>
      </c>
      <c r="Q14" s="8">
        <f ca="1">IFERROR(__xludf.DUMMYFUNCTION("""COMPUTED_VALUE"""),8)</f>
        <v>8</v>
      </c>
      <c r="R14" s="8">
        <f ca="1">IFERROR(__xludf.DUMMYFUNCTION("""COMPUTED_VALUE"""),832)</f>
        <v>832</v>
      </c>
      <c r="S14" s="8">
        <f ca="1">IFERROR(__xludf.DUMMYFUNCTION("""COMPUTED_VALUE"""),12.8)</f>
        <v>12.8</v>
      </c>
      <c r="T14" s="8">
        <f ca="1">IFERROR(__xludf.DUMMYFUNCTION("""COMPUTED_VALUE"""),844.8)</f>
        <v>844.8</v>
      </c>
      <c r="U14" s="8"/>
      <c r="V14" s="8"/>
      <c r="W14" s="8"/>
      <c r="X14" s="8"/>
      <c r="Y14" s="8"/>
      <c r="Z14" s="37" t="str">
        <f ca="1">IFERROR(__xludf.DUMMYFUNCTION("""COMPUTED_VALUE"""),"KL1982")</f>
        <v>KL1982</v>
      </c>
      <c r="AA14" s="37" t="str">
        <f ca="1">IFERROR(__xludf.DUMMYFUNCTION("""COMPUTED_VALUE"""),"27/10/2024")</f>
        <v>27/10/2024</v>
      </c>
      <c r="AB14" s="64">
        <f ca="1">IFERROR(__xludf.DUMMYFUNCTION("""COMPUTED_VALUE"""),0.25)</f>
        <v>0.25</v>
      </c>
    </row>
    <row r="15" spans="1:28" ht="14.55" customHeight="1" x14ac:dyDescent="0.3">
      <c r="A15" s="8">
        <v>13</v>
      </c>
      <c r="B15" s="8"/>
      <c r="C15" s="8"/>
      <c r="D15" s="8" t="str">
        <f ca="1">IFERROR(__xludf.DUMMYFUNCTION("""COMPUTED_VALUE"""),"21/07/2024")</f>
        <v>21/07/2024</v>
      </c>
      <c r="E15" s="16" t="s">
        <v>0</v>
      </c>
      <c r="F15" s="8" t="str">
        <f ca="1">IFERROR(__xludf.DUMMYFUNCTION("""COMPUTED_VALUE"""),"Van Houtte, Filip")</f>
        <v>Van Houtte, Filip</v>
      </c>
      <c r="G15" s="16" t="str">
        <f ca="1">IFERROR(__xludf.DUMMYFUNCTION("""COMPUTED_VALUE"""),"BEL")</f>
        <v>BEL</v>
      </c>
      <c r="H15" s="8"/>
      <c r="I15" s="8">
        <f ca="1">IFERROR(__xludf.DUMMYFUNCTION("""COMPUTED_VALUE"""),100)</f>
        <v>100</v>
      </c>
      <c r="J15" s="8"/>
      <c r="K15" s="8"/>
      <c r="L15" s="8" t="str">
        <f ca="1">IFERROR(__xludf.DUMMYFUNCTION("""COMPUTED_VALUE"""),"KBSK Brugge")</f>
        <v>KBSK Brugge</v>
      </c>
      <c r="M15" s="16" t="str">
        <f ca="1">IFERROR(__xludf.DUMMYFUNCTION("""COMPUTED_VALUE"""),"BEL")</f>
        <v>BEL</v>
      </c>
      <c r="N15" s="16" t="str">
        <f ca="1">IFERROR(__xludf.DUMMYFUNCTION("""COMPUTED_VALUE"""),"Zepter")</f>
        <v>Zepter</v>
      </c>
      <c r="O15" s="8"/>
      <c r="P15" s="8">
        <f ca="1">IFERROR(__xludf.DUMMYFUNCTION("""COMPUTED_VALUE"""),104)</f>
        <v>104</v>
      </c>
      <c r="Q15" s="8">
        <f ca="1">IFERROR(__xludf.DUMMYFUNCTION("""COMPUTED_VALUE"""),8)</f>
        <v>8</v>
      </c>
      <c r="R15" s="8">
        <f ca="1">IFERROR(__xludf.DUMMYFUNCTION("""COMPUTED_VALUE"""),832)</f>
        <v>832</v>
      </c>
      <c r="S15" s="8">
        <f ca="1">IFERROR(__xludf.DUMMYFUNCTION("""COMPUTED_VALUE"""),12.8)</f>
        <v>12.8</v>
      </c>
      <c r="T15" s="8">
        <f ca="1">IFERROR(__xludf.DUMMYFUNCTION("""COMPUTED_VALUE"""),844.8)</f>
        <v>844.8</v>
      </c>
      <c r="U15" s="8"/>
      <c r="V15" s="8"/>
      <c r="W15" s="8"/>
      <c r="X15" s="8"/>
      <c r="Y15" s="8"/>
      <c r="Z15" s="37" t="str">
        <f ca="1">IFERROR(__xludf.DUMMYFUNCTION("""COMPUTED_VALUE"""),"KL1982")</f>
        <v>KL1982</v>
      </c>
      <c r="AA15" s="37" t="str">
        <f ca="1">IFERROR(__xludf.DUMMYFUNCTION("""COMPUTED_VALUE"""),"27/10/2024")</f>
        <v>27/10/2024</v>
      </c>
      <c r="AB15" s="64">
        <f ca="1">IFERROR(__xludf.DUMMYFUNCTION("""COMPUTED_VALUE"""),0.25)</f>
        <v>0.25</v>
      </c>
    </row>
    <row r="16" spans="1:28" ht="14.55" customHeight="1" x14ac:dyDescent="0.3">
      <c r="A16" s="8">
        <v>14</v>
      </c>
      <c r="B16" s="8"/>
      <c r="C16" s="8"/>
      <c r="D16" s="8" t="str">
        <f ca="1">IFERROR(__xludf.DUMMYFUNCTION("""COMPUTED_VALUE"""),"21/07/2024")</f>
        <v>21/07/2024</v>
      </c>
      <c r="E16" s="16" t="str">
        <f ca="1">IFERROR(__xludf.DUMMYFUNCTION("""COMPUTED_VALUE"""),"Player")</f>
        <v>Player</v>
      </c>
      <c r="F16" s="8" t="str">
        <f ca="1">IFERROR(__xludf.DUMMYFUNCTION("""COMPUTED_VALUE"""),"Decrop, Benjamin")</f>
        <v>Decrop, Benjamin</v>
      </c>
      <c r="G16" s="16" t="str">
        <f ca="1">IFERROR(__xludf.DUMMYFUNCTION("""COMPUTED_VALUE"""),"BEL")</f>
        <v>BEL</v>
      </c>
      <c r="H16" s="8"/>
      <c r="I16" s="8">
        <f ca="1">IFERROR(__xludf.DUMMYFUNCTION("""COMPUTED_VALUE"""),100)</f>
        <v>100</v>
      </c>
      <c r="J16" s="8"/>
      <c r="K16" s="8"/>
      <c r="L16" s="8" t="str">
        <f ca="1">IFERROR(__xludf.DUMMYFUNCTION("""COMPUTED_VALUE"""),"KOSK Oostende")</f>
        <v>KOSK Oostende</v>
      </c>
      <c r="M16" s="16" t="str">
        <f ca="1">IFERROR(__xludf.DUMMYFUNCTION("""COMPUTED_VALUE"""),"BEL")</f>
        <v>BEL</v>
      </c>
      <c r="N16" s="16" t="str">
        <f ca="1">IFERROR(__xludf.DUMMYFUNCTION("""COMPUTED_VALUE"""),"Zepter")</f>
        <v>Zepter</v>
      </c>
      <c r="O16" s="8" t="str">
        <f ca="1">IFERROR(__xludf.DUMMYFUNCTION("""COMPUTED_VALUE"""),"Roos Adrian")</f>
        <v>Roos Adrian</v>
      </c>
      <c r="P16" s="8">
        <f ca="1">IFERROR(__xludf.DUMMYFUNCTION("""COMPUTED_VALUE"""),82)</f>
        <v>82</v>
      </c>
      <c r="Q16" s="8">
        <f ca="1">IFERROR(__xludf.DUMMYFUNCTION("""COMPUTED_VALUE"""),8)</f>
        <v>8</v>
      </c>
      <c r="R16" s="8">
        <f ca="1">IFERROR(__xludf.DUMMYFUNCTION("""COMPUTED_VALUE"""),656)</f>
        <v>656</v>
      </c>
      <c r="S16" s="8">
        <f ca="1">IFERROR(__xludf.DUMMYFUNCTION("""COMPUTED_VALUE"""),12.8)</f>
        <v>12.8</v>
      </c>
      <c r="T16" s="8">
        <f ca="1">IFERROR(__xludf.DUMMYFUNCTION("""COMPUTED_VALUE"""),668.8)</f>
        <v>668.8</v>
      </c>
      <c r="U16" s="8"/>
      <c r="V16" s="8"/>
      <c r="W16" s="8"/>
      <c r="X16" s="8"/>
      <c r="Y16" s="8"/>
      <c r="Z16" s="37" t="str">
        <f ca="1">IFERROR(__xludf.DUMMYFUNCTION("""COMPUTED_VALUE"""),"KL1982")</f>
        <v>KL1982</v>
      </c>
      <c r="AA16" s="37" t="str">
        <f ca="1">IFERROR(__xludf.DUMMYFUNCTION("""COMPUTED_VALUE"""),"27/10/2024")</f>
        <v>27/10/2024</v>
      </c>
      <c r="AB16" s="64">
        <f ca="1">IFERROR(__xludf.DUMMYFUNCTION("""COMPUTED_VALUE"""),0.25)</f>
        <v>0.25</v>
      </c>
    </row>
    <row r="17" spans="1:28" ht="14.55" customHeight="1" x14ac:dyDescent="0.3">
      <c r="A17" s="8">
        <v>15</v>
      </c>
      <c r="B17" s="8"/>
      <c r="C17" s="8"/>
      <c r="D17" s="8" t="str">
        <f ca="1">IFERROR(__xludf.DUMMYFUNCTION("""COMPUTED_VALUE"""),"21/07/2024")</f>
        <v>21/07/2024</v>
      </c>
      <c r="E17" s="16" t="str">
        <f ca="1">IFERROR(__xludf.DUMMYFUNCTION("""COMPUTED_VALUE"""),"Player")</f>
        <v>Player</v>
      </c>
      <c r="F17" s="8" t="str">
        <f ca="1">IFERROR(__xludf.DUMMYFUNCTION("""COMPUTED_VALUE"""),"Roos, Adrian")</f>
        <v>Roos, Adrian</v>
      </c>
      <c r="G17" s="16" t="str">
        <f ca="1">IFERROR(__xludf.DUMMYFUNCTION("""COMPUTED_VALUE"""),"BEL")</f>
        <v>BEL</v>
      </c>
      <c r="H17" s="8"/>
      <c r="I17" s="8">
        <f ca="1">IFERROR(__xludf.DUMMYFUNCTION("""COMPUTED_VALUE"""),100)</f>
        <v>100</v>
      </c>
      <c r="J17" s="8"/>
      <c r="K17" s="8"/>
      <c r="L17" s="8" t="str">
        <f ca="1">IFERROR(__xludf.DUMMYFUNCTION("""COMPUTED_VALUE"""),"KOSK Oostende")</f>
        <v>KOSK Oostende</v>
      </c>
      <c r="M17" s="16" t="str">
        <f ca="1">IFERROR(__xludf.DUMMYFUNCTION("""COMPUTED_VALUE"""),"BEL")</f>
        <v>BEL</v>
      </c>
      <c r="N17" s="16" t="str">
        <f ca="1">IFERROR(__xludf.DUMMYFUNCTION("""COMPUTED_VALUE"""),"Zepter")</f>
        <v>Zepter</v>
      </c>
      <c r="O17" s="8" t="str">
        <f ca="1">IFERROR(__xludf.DUMMYFUNCTION("""COMPUTED_VALUE"""),"Decrop Benjamin")</f>
        <v>Decrop Benjamin</v>
      </c>
      <c r="P17" s="8">
        <f ca="1">IFERROR(__xludf.DUMMYFUNCTION("""COMPUTED_VALUE"""),82)</f>
        <v>82</v>
      </c>
      <c r="Q17" s="8">
        <f ca="1">IFERROR(__xludf.DUMMYFUNCTION("""COMPUTED_VALUE"""),8)</f>
        <v>8</v>
      </c>
      <c r="R17" s="8">
        <f ca="1">IFERROR(__xludf.DUMMYFUNCTION("""COMPUTED_VALUE"""),656)</f>
        <v>656</v>
      </c>
      <c r="S17" s="8">
        <f ca="1">IFERROR(__xludf.DUMMYFUNCTION("""COMPUTED_VALUE"""),12.8)</f>
        <v>12.8</v>
      </c>
      <c r="T17" s="8">
        <f ca="1">IFERROR(__xludf.DUMMYFUNCTION("""COMPUTED_VALUE"""),668.8)</f>
        <v>668.8</v>
      </c>
      <c r="U17" s="8"/>
      <c r="V17" s="8"/>
      <c r="W17" s="8"/>
      <c r="X17" s="8"/>
      <c r="Y17" s="8"/>
      <c r="Z17" s="37" t="str">
        <f ca="1">IFERROR(__xludf.DUMMYFUNCTION("""COMPUTED_VALUE"""),"KL1982")</f>
        <v>KL1982</v>
      </c>
      <c r="AA17" s="37" t="str">
        <f ca="1">IFERROR(__xludf.DUMMYFUNCTION("""COMPUTED_VALUE"""),"27/10/2024")</f>
        <v>27/10/2024</v>
      </c>
      <c r="AB17" s="64">
        <f ca="1">IFERROR(__xludf.DUMMYFUNCTION("""COMPUTED_VALUE"""),0.25)</f>
        <v>0.25</v>
      </c>
    </row>
    <row r="18" spans="1:28" ht="14.55" customHeight="1" x14ac:dyDescent="0.3">
      <c r="A18" s="8">
        <v>16</v>
      </c>
      <c r="B18" s="8"/>
      <c r="C18" s="8"/>
      <c r="D18" s="8" t="str">
        <f ca="1">IFERROR(__xludf.DUMMYFUNCTION("""COMPUTED_VALUE"""),"21/07/2024")</f>
        <v>21/07/2024</v>
      </c>
      <c r="E18" s="16" t="str">
        <f ca="1">IFERROR(__xludf.DUMMYFUNCTION("""COMPUTED_VALUE"""),"Player")</f>
        <v>Player</v>
      </c>
      <c r="F18" s="8" t="str">
        <f ca="1">IFERROR(__xludf.DUMMYFUNCTION("""COMPUTED_VALUE"""),"Cocquyt, Tijs")</f>
        <v>Cocquyt, Tijs</v>
      </c>
      <c r="G18" s="16" t="str">
        <f ca="1">IFERROR(__xludf.DUMMYFUNCTION("""COMPUTED_VALUE"""),"BEL")</f>
        <v>BEL</v>
      </c>
      <c r="H18" s="8"/>
      <c r="I18" s="8">
        <f ca="1">IFERROR(__xludf.DUMMYFUNCTION("""COMPUTED_VALUE"""),100)</f>
        <v>100</v>
      </c>
      <c r="J18" s="8"/>
      <c r="K18" s="8"/>
      <c r="L18" s="8" t="str">
        <f ca="1">IFERROR(__xludf.DUMMYFUNCTION("""COMPUTED_VALUE"""),"KOSK Oostende")</f>
        <v>KOSK Oostende</v>
      </c>
      <c r="M18" s="16" t="str">
        <f ca="1">IFERROR(__xludf.DUMMYFUNCTION("""COMPUTED_VALUE"""),"BEL")</f>
        <v>BEL</v>
      </c>
      <c r="N18" s="16" t="str">
        <f ca="1">IFERROR(__xludf.DUMMYFUNCTION("""COMPUTED_VALUE"""),"Zepter")</f>
        <v>Zepter</v>
      </c>
      <c r="O18" s="8"/>
      <c r="P18" s="8">
        <f ca="1">IFERROR(__xludf.DUMMYFUNCTION("""COMPUTED_VALUE"""),104)</f>
        <v>104</v>
      </c>
      <c r="Q18" s="8">
        <f ca="1">IFERROR(__xludf.DUMMYFUNCTION("""COMPUTED_VALUE"""),8)</f>
        <v>8</v>
      </c>
      <c r="R18" s="8">
        <f ca="1">IFERROR(__xludf.DUMMYFUNCTION("""COMPUTED_VALUE"""),832)</f>
        <v>832</v>
      </c>
      <c r="S18" s="8">
        <f ca="1">IFERROR(__xludf.DUMMYFUNCTION("""COMPUTED_VALUE"""),12.8)</f>
        <v>12.8</v>
      </c>
      <c r="T18" s="8">
        <f ca="1">IFERROR(__xludf.DUMMYFUNCTION("""COMPUTED_VALUE"""),844.8)</f>
        <v>844.8</v>
      </c>
      <c r="U18" s="8"/>
      <c r="V18" s="8"/>
      <c r="W18" s="8"/>
      <c r="X18" s="8"/>
      <c r="Y18" s="8"/>
      <c r="Z18" s="37" t="str">
        <f ca="1">IFERROR(__xludf.DUMMYFUNCTION("""COMPUTED_VALUE"""),"KL1982")</f>
        <v>KL1982</v>
      </c>
      <c r="AA18" s="37" t="str">
        <f ca="1">IFERROR(__xludf.DUMMYFUNCTION("""COMPUTED_VALUE"""),"27/10/2024")</f>
        <v>27/10/2024</v>
      </c>
      <c r="AB18" s="64">
        <f ca="1">IFERROR(__xludf.DUMMYFUNCTION("""COMPUTED_VALUE"""),0.25)</f>
        <v>0.25</v>
      </c>
    </row>
    <row r="19" spans="1:28" ht="14.55" customHeight="1" x14ac:dyDescent="0.3">
      <c r="A19" s="8">
        <v>17</v>
      </c>
      <c r="B19" s="8"/>
      <c r="C19" s="8"/>
      <c r="D19" s="8" t="str">
        <f ca="1">IFERROR(__xludf.DUMMYFUNCTION("""COMPUTED_VALUE"""),"21/07/2024")</f>
        <v>21/07/2024</v>
      </c>
      <c r="E19" s="16" t="str">
        <f ca="1">IFERROR(__xludf.DUMMYFUNCTION("""COMPUTED_VALUE"""),"Player")</f>
        <v>Player</v>
      </c>
      <c r="F19" s="8" t="str">
        <f ca="1">IFERROR(__xludf.DUMMYFUNCTION("""COMPUTED_VALUE"""),"Pincket, Michael")</f>
        <v>Pincket, Michael</v>
      </c>
      <c r="G19" s="16" t="str">
        <f ca="1">IFERROR(__xludf.DUMMYFUNCTION("""COMPUTED_VALUE"""),"BEL")</f>
        <v>BEL</v>
      </c>
      <c r="H19" s="8"/>
      <c r="I19" s="8">
        <f ca="1">IFERROR(__xludf.DUMMYFUNCTION("""COMPUTED_VALUE"""),100)</f>
        <v>100</v>
      </c>
      <c r="J19" s="8"/>
      <c r="K19" s="8"/>
      <c r="L19" s="8" t="str">
        <f ca="1">IFERROR(__xludf.DUMMYFUNCTION("""COMPUTED_VALUE"""),"KOSK Oostende")</f>
        <v>KOSK Oostende</v>
      </c>
      <c r="M19" s="16" t="str">
        <f ca="1">IFERROR(__xludf.DUMMYFUNCTION("""COMPUTED_VALUE"""),"BEL")</f>
        <v>BEL</v>
      </c>
      <c r="N19" s="16" t="str">
        <f ca="1">IFERROR(__xludf.DUMMYFUNCTION("""COMPUTED_VALUE"""),"Zepter")</f>
        <v>Zepter</v>
      </c>
      <c r="O19" s="8" t="str">
        <f ca="1">IFERROR(__xludf.DUMMYFUNCTION("""COMPUTED_VALUE"""),"Lycke Olivia")</f>
        <v>Lycke Olivia</v>
      </c>
      <c r="P19" s="8">
        <f ca="1">IFERROR(__xludf.DUMMYFUNCTION("""COMPUTED_VALUE"""),82)</f>
        <v>82</v>
      </c>
      <c r="Q19" s="8">
        <f ca="1">IFERROR(__xludf.DUMMYFUNCTION("""COMPUTED_VALUE"""),8)</f>
        <v>8</v>
      </c>
      <c r="R19" s="8">
        <f ca="1">IFERROR(__xludf.DUMMYFUNCTION("""COMPUTED_VALUE"""),656)</f>
        <v>656</v>
      </c>
      <c r="S19" s="8">
        <f ca="1">IFERROR(__xludf.DUMMYFUNCTION("""COMPUTED_VALUE"""),12.8)</f>
        <v>12.8</v>
      </c>
      <c r="T19" s="8">
        <f ca="1">IFERROR(__xludf.DUMMYFUNCTION("""COMPUTED_VALUE"""),668.8)</f>
        <v>668.8</v>
      </c>
      <c r="U19" s="8"/>
      <c r="V19" s="8"/>
      <c r="W19" s="8"/>
      <c r="X19" s="8"/>
      <c r="Y19" s="8"/>
      <c r="Z19" s="37" t="str">
        <f ca="1">IFERROR(__xludf.DUMMYFUNCTION("""COMPUTED_VALUE"""),"KL1982")</f>
        <v>KL1982</v>
      </c>
      <c r="AA19" s="37" t="str">
        <f ca="1">IFERROR(__xludf.DUMMYFUNCTION("""COMPUTED_VALUE"""),"27/10/2024")</f>
        <v>27/10/2024</v>
      </c>
      <c r="AB19" s="64">
        <f ca="1">IFERROR(__xludf.DUMMYFUNCTION("""COMPUTED_VALUE"""),0.25)</f>
        <v>0.25</v>
      </c>
    </row>
    <row r="20" spans="1:28" ht="14.55" customHeight="1" x14ac:dyDescent="0.3">
      <c r="A20" s="8">
        <v>18</v>
      </c>
      <c r="B20" s="8"/>
      <c r="C20" s="8"/>
      <c r="D20" s="8" t="str">
        <f ca="1">IFERROR(__xludf.DUMMYFUNCTION("""COMPUTED_VALUE"""),"21/07/2024")</f>
        <v>21/07/2024</v>
      </c>
      <c r="E20" s="16" t="str">
        <f ca="1">IFERROR(__xludf.DUMMYFUNCTION("""COMPUTED_VALUE"""),"Player")</f>
        <v>Player</v>
      </c>
      <c r="F20" s="8" t="str">
        <f ca="1">IFERROR(__xludf.DUMMYFUNCTION("""COMPUTED_VALUE"""),"Verstraete, Michael")</f>
        <v>Verstraete, Michael</v>
      </c>
      <c r="G20" s="16" t="str">
        <f ca="1">IFERROR(__xludf.DUMMYFUNCTION("""COMPUTED_VALUE"""),"BEL")</f>
        <v>BEL</v>
      </c>
      <c r="H20" s="8"/>
      <c r="I20" s="8">
        <f ca="1">IFERROR(__xludf.DUMMYFUNCTION("""COMPUTED_VALUE"""),100)</f>
        <v>100</v>
      </c>
      <c r="J20" s="8"/>
      <c r="K20" s="8"/>
      <c r="L20" s="8" t="str">
        <f ca="1">IFERROR(__xludf.DUMMYFUNCTION("""COMPUTED_VALUE"""),"KOSK Oostende")</f>
        <v>KOSK Oostende</v>
      </c>
      <c r="M20" s="16" t="str">
        <f ca="1">IFERROR(__xludf.DUMMYFUNCTION("""COMPUTED_VALUE"""),"BEL")</f>
        <v>BEL</v>
      </c>
      <c r="N20" s="16" t="str">
        <f ca="1">IFERROR(__xludf.DUMMYFUNCTION("""COMPUTED_VALUE"""),"Zepter")</f>
        <v>Zepter</v>
      </c>
      <c r="O20" s="8" t="str">
        <f ca="1">IFERROR(__xludf.DUMMYFUNCTION("""COMPUTED_VALUE"""),"Seynaeve Kevan")</f>
        <v>Seynaeve Kevan</v>
      </c>
      <c r="P20" s="8">
        <f ca="1">IFERROR(__xludf.DUMMYFUNCTION("""COMPUTED_VALUE"""),82)</f>
        <v>82</v>
      </c>
      <c r="Q20" s="8">
        <f ca="1">IFERROR(__xludf.DUMMYFUNCTION("""COMPUTED_VALUE"""),8)</f>
        <v>8</v>
      </c>
      <c r="R20" s="8">
        <f ca="1">IFERROR(__xludf.DUMMYFUNCTION("""COMPUTED_VALUE"""),656)</f>
        <v>656</v>
      </c>
      <c r="S20" s="8">
        <f ca="1">IFERROR(__xludf.DUMMYFUNCTION("""COMPUTED_VALUE"""),12.8)</f>
        <v>12.8</v>
      </c>
      <c r="T20" s="8">
        <f ca="1">IFERROR(__xludf.DUMMYFUNCTION("""COMPUTED_VALUE"""),668.8)</f>
        <v>668.8</v>
      </c>
      <c r="U20" s="8"/>
      <c r="V20" s="8"/>
      <c r="W20" s="8"/>
      <c r="X20" s="8"/>
      <c r="Y20" s="8"/>
      <c r="Z20" s="37" t="str">
        <f ca="1">IFERROR(__xludf.DUMMYFUNCTION("""COMPUTED_VALUE"""),"KL1982")</f>
        <v>KL1982</v>
      </c>
      <c r="AA20" s="37" t="str">
        <f ca="1">IFERROR(__xludf.DUMMYFUNCTION("""COMPUTED_VALUE"""),"27/10/2024")</f>
        <v>27/10/2024</v>
      </c>
      <c r="AB20" s="64">
        <f ca="1">IFERROR(__xludf.DUMMYFUNCTION("""COMPUTED_VALUE"""),0.25)</f>
        <v>0.25</v>
      </c>
    </row>
    <row r="21" spans="1:28" ht="14.55" customHeight="1" x14ac:dyDescent="0.3">
      <c r="A21" s="8">
        <v>19</v>
      </c>
      <c r="B21" s="8"/>
      <c r="C21" s="8"/>
      <c r="D21" s="8" t="str">
        <f ca="1">IFERROR(__xludf.DUMMYFUNCTION("""COMPUTED_VALUE"""),"21/07/2024")</f>
        <v>21/07/2024</v>
      </c>
      <c r="E21" s="16" t="str">
        <f ca="1">IFERROR(__xludf.DUMMYFUNCTION("""COMPUTED_VALUE"""),"Player")</f>
        <v>Player</v>
      </c>
      <c r="F21" s="8" t="str">
        <f ca="1">IFERROR(__xludf.DUMMYFUNCTION("""COMPUTED_VALUE"""),"Dechamps, Mark")</f>
        <v>Dechamps, Mark</v>
      </c>
      <c r="G21" s="16" t="str">
        <f ca="1">IFERROR(__xludf.DUMMYFUNCTION("""COMPUTED_VALUE"""),"BEL")</f>
        <v>BEL</v>
      </c>
      <c r="H21" s="8"/>
      <c r="I21" s="8">
        <f ca="1">IFERROR(__xludf.DUMMYFUNCTION("""COMPUTED_VALUE"""),100)</f>
        <v>100</v>
      </c>
      <c r="J21" s="8"/>
      <c r="K21" s="8"/>
      <c r="L21" s="8" t="str">
        <f ca="1">IFERROR(__xludf.DUMMYFUNCTION("""COMPUTED_VALUE"""),"KOSK Oostende")</f>
        <v>KOSK Oostende</v>
      </c>
      <c r="M21" s="16" t="str">
        <f ca="1">IFERROR(__xludf.DUMMYFUNCTION("""COMPUTED_VALUE"""),"BEL")</f>
        <v>BEL</v>
      </c>
      <c r="N21" s="16" t="str">
        <f ca="1">IFERROR(__xludf.DUMMYFUNCTION("""COMPUTED_VALUE"""),"Zepter")</f>
        <v>Zepter</v>
      </c>
      <c r="O21" s="8" t="str">
        <f ca="1">IFERROR(__xludf.DUMMYFUNCTION("""COMPUTED_VALUE"""),"Decoster Frederic (KBSK Brugge)")</f>
        <v>Decoster Frederic (KBSK Brugge)</v>
      </c>
      <c r="P21" s="8">
        <f ca="1">IFERROR(__xludf.DUMMYFUNCTION("""COMPUTED_VALUE"""),82)</f>
        <v>82</v>
      </c>
      <c r="Q21" s="8">
        <f ca="1">IFERROR(__xludf.DUMMYFUNCTION("""COMPUTED_VALUE"""),8)</f>
        <v>8</v>
      </c>
      <c r="R21" s="8">
        <f ca="1">IFERROR(__xludf.DUMMYFUNCTION("""COMPUTED_VALUE"""),656)</f>
        <v>656</v>
      </c>
      <c r="S21" s="8">
        <f ca="1">IFERROR(__xludf.DUMMYFUNCTION("""COMPUTED_VALUE"""),12.8)</f>
        <v>12.8</v>
      </c>
      <c r="T21" s="8">
        <f ca="1">IFERROR(__xludf.DUMMYFUNCTION("""COMPUTED_VALUE"""),668.8)</f>
        <v>668.8</v>
      </c>
      <c r="U21" s="8"/>
      <c r="V21" s="8"/>
      <c r="W21" s="8"/>
      <c r="X21" s="8"/>
      <c r="Y21" s="8"/>
      <c r="Z21" s="37" t="str">
        <f ca="1">IFERROR(__xludf.DUMMYFUNCTION("""COMPUTED_VALUE"""),"KL1982")</f>
        <v>KL1982</v>
      </c>
      <c r="AA21" s="37" t="str">
        <f ca="1">IFERROR(__xludf.DUMMYFUNCTION("""COMPUTED_VALUE"""),"27/10/2024")</f>
        <v>27/10/2024</v>
      </c>
      <c r="AB21" s="64">
        <f ca="1">IFERROR(__xludf.DUMMYFUNCTION("""COMPUTED_VALUE"""),0.25)</f>
        <v>0.25</v>
      </c>
    </row>
    <row r="22" spans="1:28" ht="14.55" customHeight="1" x14ac:dyDescent="0.3">
      <c r="A22" s="8">
        <v>20</v>
      </c>
      <c r="B22" s="8"/>
      <c r="C22" s="8"/>
      <c r="D22" s="8" t="str">
        <f ca="1">IFERROR(__xludf.DUMMYFUNCTION("""COMPUTED_VALUE"""),"21/07/2024")</f>
        <v>21/07/2024</v>
      </c>
      <c r="E22" s="16" t="s">
        <v>0</v>
      </c>
      <c r="F22" s="8" t="str">
        <f ca="1">IFERROR(__xludf.DUMMYFUNCTION("""COMPUTED_VALUE"""),"Lycke, Olivia")</f>
        <v>Lycke, Olivia</v>
      </c>
      <c r="G22" s="16" t="str">
        <f ca="1">IFERROR(__xludf.DUMMYFUNCTION("""COMPUTED_VALUE"""),"BEL")</f>
        <v>BEL</v>
      </c>
      <c r="H22" s="8"/>
      <c r="I22" s="8">
        <f ca="1">IFERROR(__xludf.DUMMYFUNCTION("""COMPUTED_VALUE"""),100)</f>
        <v>100</v>
      </c>
      <c r="J22" s="8"/>
      <c r="K22" s="8"/>
      <c r="L22" s="8" t="str">
        <f ca="1">IFERROR(__xludf.DUMMYFUNCTION("""COMPUTED_VALUE"""),"KOSK Oostende")</f>
        <v>KOSK Oostende</v>
      </c>
      <c r="M22" s="16" t="str">
        <f ca="1">IFERROR(__xludf.DUMMYFUNCTION("""COMPUTED_VALUE"""),"BEL")</f>
        <v>BEL</v>
      </c>
      <c r="N22" s="16" t="str">
        <f ca="1">IFERROR(__xludf.DUMMYFUNCTION("""COMPUTED_VALUE"""),"Zepter")</f>
        <v>Zepter</v>
      </c>
      <c r="O22" s="8" t="str">
        <f ca="1">IFERROR(__xludf.DUMMYFUNCTION("""COMPUTED_VALUE"""),"Pincket Michael")</f>
        <v>Pincket Michael</v>
      </c>
      <c r="P22" s="8">
        <f ca="1">IFERROR(__xludf.DUMMYFUNCTION("""COMPUTED_VALUE"""),82)</f>
        <v>82</v>
      </c>
      <c r="Q22" s="8">
        <f ca="1">IFERROR(__xludf.DUMMYFUNCTION("""COMPUTED_VALUE"""),8)</f>
        <v>8</v>
      </c>
      <c r="R22" s="8">
        <f ca="1">IFERROR(__xludf.DUMMYFUNCTION("""COMPUTED_VALUE"""),656)</f>
        <v>656</v>
      </c>
      <c r="S22" s="8">
        <f ca="1">IFERROR(__xludf.DUMMYFUNCTION("""COMPUTED_VALUE"""),12.8)</f>
        <v>12.8</v>
      </c>
      <c r="T22" s="8">
        <f ca="1">IFERROR(__xludf.DUMMYFUNCTION("""COMPUTED_VALUE"""),668.8)</f>
        <v>668.8</v>
      </c>
      <c r="U22" s="8"/>
      <c r="V22" s="8"/>
      <c r="W22" s="8"/>
      <c r="X22" s="8"/>
      <c r="Y22" s="8"/>
      <c r="Z22" s="37" t="str">
        <f ca="1">IFERROR(__xludf.DUMMYFUNCTION("""COMPUTED_VALUE"""),"KL1982")</f>
        <v>KL1982</v>
      </c>
      <c r="AA22" s="37" t="str">
        <f ca="1">IFERROR(__xludf.DUMMYFUNCTION("""COMPUTED_VALUE"""),"27/10/2024")</f>
        <v>27/10/2024</v>
      </c>
      <c r="AB22" s="64">
        <f ca="1">IFERROR(__xludf.DUMMYFUNCTION("""COMPUTED_VALUE"""),0.25)</f>
        <v>0.25</v>
      </c>
    </row>
    <row r="23" spans="1:28" ht="14.55" customHeight="1" x14ac:dyDescent="0.3">
      <c r="A23" s="8">
        <v>21</v>
      </c>
      <c r="B23" s="8"/>
      <c r="C23" s="8" t="str">
        <f ca="1">IFERROR(__xludf.DUMMYFUNCTION("""COMPUTED_VALUE"""),"bio Acc, sada igrac")</f>
        <v>bio Acc, sada igrac</v>
      </c>
      <c r="D23" s="8" t="str">
        <f ca="1">IFERROR(__xludf.DUMMYFUNCTION("""COMPUTED_VALUE"""),"21/07/2024")</f>
        <v>21/07/2024</v>
      </c>
      <c r="E23" s="16" t="str">
        <f ca="1">IFERROR(__xludf.DUMMYFUNCTION("""COMPUTED_VALUE"""),"Player")</f>
        <v>Player</v>
      </c>
      <c r="F23" s="8" t="str">
        <f ca="1">IFERROR(__xludf.DUMMYFUNCTION("""COMPUTED_VALUE"""),"Seynaeve, Kevan")</f>
        <v>Seynaeve, Kevan</v>
      </c>
      <c r="G23" s="16" t="str">
        <f ca="1">IFERROR(__xludf.DUMMYFUNCTION("""COMPUTED_VALUE"""),"BEL")</f>
        <v>BEL</v>
      </c>
      <c r="H23" s="8"/>
      <c r="I23" s="8">
        <f ca="1">IFERROR(__xludf.DUMMYFUNCTION("""COMPUTED_VALUE"""),100)</f>
        <v>100</v>
      </c>
      <c r="J23" s="8"/>
      <c r="K23" s="8"/>
      <c r="L23" s="8" t="str">
        <f ca="1">IFERROR(__xludf.DUMMYFUNCTION("""COMPUTED_VALUE"""),"KOSK Oostende")</f>
        <v>KOSK Oostende</v>
      </c>
      <c r="M23" s="16" t="str">
        <f ca="1">IFERROR(__xludf.DUMMYFUNCTION("""COMPUTED_VALUE"""),"BEL")</f>
        <v>BEL</v>
      </c>
      <c r="N23" s="16" t="str">
        <f ca="1">IFERROR(__xludf.DUMMYFUNCTION("""COMPUTED_VALUE"""),"Zepter")</f>
        <v>Zepter</v>
      </c>
      <c r="O23" s="8" t="str">
        <f ca="1">IFERROR(__xludf.DUMMYFUNCTION("""COMPUTED_VALUE"""),"Michael Verstraete")</f>
        <v>Michael Verstraete</v>
      </c>
      <c r="P23" s="8">
        <f ca="1">IFERROR(__xludf.DUMMYFUNCTION("""COMPUTED_VALUE"""),82)</f>
        <v>82</v>
      </c>
      <c r="Q23" s="8">
        <f ca="1">IFERROR(__xludf.DUMMYFUNCTION("""COMPUTED_VALUE"""),8)</f>
        <v>8</v>
      </c>
      <c r="R23" s="8">
        <f ca="1">IFERROR(__xludf.DUMMYFUNCTION("""COMPUTED_VALUE"""),656)</f>
        <v>656</v>
      </c>
      <c r="S23" s="8">
        <f ca="1">IFERROR(__xludf.DUMMYFUNCTION("""COMPUTED_VALUE"""),12.8)</f>
        <v>12.8</v>
      </c>
      <c r="T23" s="8">
        <f ca="1">IFERROR(__xludf.DUMMYFUNCTION("""COMPUTED_VALUE"""),668.8)</f>
        <v>668.8</v>
      </c>
      <c r="U23" s="8"/>
      <c r="V23" s="8"/>
      <c r="W23" s="8"/>
      <c r="X23" s="8"/>
      <c r="Y23" s="8"/>
      <c r="Z23" s="37" t="str">
        <f ca="1">IFERROR(__xludf.DUMMYFUNCTION("""COMPUTED_VALUE"""),"KL1982")</f>
        <v>KL1982</v>
      </c>
      <c r="AA23" s="37" t="str">
        <f ca="1">IFERROR(__xludf.DUMMYFUNCTION("""COMPUTED_VALUE"""),"27/10/2024")</f>
        <v>27/10/2024</v>
      </c>
      <c r="AB23" s="64">
        <f ca="1">IFERROR(__xludf.DUMMYFUNCTION("""COMPUTED_VALUE"""),0.25)</f>
        <v>0.25</v>
      </c>
    </row>
    <row r="24" spans="1:28" ht="14.55" customHeight="1" x14ac:dyDescent="0.3">
      <c r="A24" s="8">
        <v>22</v>
      </c>
      <c r="B24" s="8"/>
      <c r="C24" s="8"/>
      <c r="D24" s="8" t="str">
        <f ca="1">IFERROR(__xludf.DUMMYFUNCTION("""COMPUTED_VALUE"""),"14/08/2024")</f>
        <v>14/08/2024</v>
      </c>
      <c r="E24" s="16" t="str">
        <f ca="1">IFERROR(__xludf.DUMMYFUNCTION("""COMPUTED_VALUE"""),"Player")</f>
        <v>Player</v>
      </c>
      <c r="F24" s="8" t="str">
        <f ca="1">IFERROR(__xludf.DUMMYFUNCTION("""COMPUTED_VALUE"""),"Sammalvuo, Tapani")</f>
        <v>Sammalvuo, Tapani</v>
      </c>
      <c r="G24" s="16" t="str">
        <f ca="1">IFERROR(__xludf.DUMMYFUNCTION("""COMPUTED_VALUE"""),"FIN")</f>
        <v>FIN</v>
      </c>
      <c r="H24" s="8"/>
      <c r="I24" s="8">
        <f ca="1">IFERROR(__xludf.DUMMYFUNCTION("""COMPUTED_VALUE"""),100)</f>
        <v>100</v>
      </c>
      <c r="J24" s="8"/>
      <c r="K24" s="8"/>
      <c r="L24" s="8" t="str">
        <f ca="1">IFERROR(__xludf.DUMMYFUNCTION("""COMPUTED_VALUE"""),"Raahen Linnoitus")</f>
        <v>Raahen Linnoitus</v>
      </c>
      <c r="M24" s="16" t="str">
        <f ca="1">IFERROR(__xludf.DUMMYFUNCTION("""COMPUTED_VALUE"""),"FIN")</f>
        <v>FIN</v>
      </c>
      <c r="N24" s="16" t="str">
        <f ca="1">IFERROR(__xludf.DUMMYFUNCTION("""COMPUTED_VALUE"""),"Zepter")</f>
        <v>Zepter</v>
      </c>
      <c r="O24" s="8"/>
      <c r="P24" s="8">
        <f ca="1">IFERROR(__xludf.DUMMYFUNCTION("""COMPUTED_VALUE"""),104)</f>
        <v>104</v>
      </c>
      <c r="Q24" s="8">
        <f ca="1">IFERROR(__xludf.DUMMYFUNCTION("""COMPUTED_VALUE"""),8)</f>
        <v>8</v>
      </c>
      <c r="R24" s="8">
        <f ca="1">IFERROR(__xludf.DUMMYFUNCTION("""COMPUTED_VALUE"""),832)</f>
        <v>832</v>
      </c>
      <c r="S24" s="8">
        <f ca="1">IFERROR(__xludf.DUMMYFUNCTION("""COMPUTED_VALUE"""),12.8)</f>
        <v>12.8</v>
      </c>
      <c r="T24" s="8">
        <f ca="1">IFERROR(__xludf.DUMMYFUNCTION("""COMPUTED_VALUE"""),844.8)</f>
        <v>844.8</v>
      </c>
      <c r="U24" s="8"/>
      <c r="V24" s="8"/>
      <c r="W24" s="8"/>
      <c r="X24" s="8" t="str">
        <f ca="1">IFERROR(__xludf.DUMMYFUNCTION("""COMPUTED_VALUE"""),"Fontana kao i ostali")</f>
        <v>Fontana kao i ostali</v>
      </c>
      <c r="Y24" s="8"/>
      <c r="Z24" s="37" t="str">
        <f ca="1">IFERROR(__xludf.DUMMYFUNCTION("""COMPUTED_VALUE"""),"KL1982")</f>
        <v>KL1982</v>
      </c>
      <c r="AA24" s="37" t="str">
        <f ca="1">IFERROR(__xludf.DUMMYFUNCTION("""COMPUTED_VALUE"""),"27/10/2024")</f>
        <v>27/10/2024</v>
      </c>
      <c r="AB24" s="64">
        <f ca="1">IFERROR(__xludf.DUMMYFUNCTION("""COMPUTED_VALUE"""),0.25)</f>
        <v>0.25</v>
      </c>
    </row>
    <row r="25" spans="1:28" ht="14.55" customHeight="1" x14ac:dyDescent="0.3">
      <c r="A25" s="8">
        <v>23</v>
      </c>
      <c r="B25" s="8"/>
      <c r="C25" s="8"/>
      <c r="D25" s="8" t="str">
        <f ca="1">IFERROR(__xludf.DUMMYFUNCTION("""COMPUTED_VALUE"""),"14/08/2024")</f>
        <v>14/08/2024</v>
      </c>
      <c r="E25" s="16" t="str">
        <f ca="1">IFERROR(__xludf.DUMMYFUNCTION("""COMPUTED_VALUE"""),"Player")</f>
        <v>Player</v>
      </c>
      <c r="F25" s="8" t="str">
        <f ca="1">IFERROR(__xludf.DUMMYFUNCTION("""COMPUTED_VALUE"""),"Makela, Lauri")</f>
        <v>Makela, Lauri</v>
      </c>
      <c r="G25" s="16" t="str">
        <f ca="1">IFERROR(__xludf.DUMMYFUNCTION("""COMPUTED_VALUE"""),"FIN")</f>
        <v>FIN</v>
      </c>
      <c r="H25" s="8"/>
      <c r="I25" s="8">
        <f ca="1">IFERROR(__xludf.DUMMYFUNCTION("""COMPUTED_VALUE"""),100)</f>
        <v>100</v>
      </c>
      <c r="J25" s="8"/>
      <c r="K25" s="8"/>
      <c r="L25" s="8" t="str">
        <f ca="1">IFERROR(__xludf.DUMMYFUNCTION("""COMPUTED_VALUE"""),"Raahen Linnoitus")</f>
        <v>Raahen Linnoitus</v>
      </c>
      <c r="M25" s="16" t="str">
        <f ca="1">IFERROR(__xludf.DUMMYFUNCTION("""COMPUTED_VALUE"""),"FIN")</f>
        <v>FIN</v>
      </c>
      <c r="N25" s="16" t="str">
        <f ca="1">IFERROR(__xludf.DUMMYFUNCTION("""COMPUTED_VALUE"""),"Fontana")</f>
        <v>Fontana</v>
      </c>
      <c r="O25" s="8"/>
      <c r="P25" s="8">
        <f ca="1">IFERROR(__xludf.DUMMYFUNCTION("""COMPUTED_VALUE"""),104)</f>
        <v>104</v>
      </c>
      <c r="Q25" s="8">
        <f ca="1">IFERROR(__xludf.DUMMYFUNCTION("""COMPUTED_VALUE"""),8)</f>
        <v>8</v>
      </c>
      <c r="R25" s="8">
        <f ca="1">IFERROR(__xludf.DUMMYFUNCTION("""COMPUTED_VALUE"""),832)</f>
        <v>832</v>
      </c>
      <c r="S25" s="8">
        <f ca="1">IFERROR(__xludf.DUMMYFUNCTION("""COMPUTED_VALUE"""),12.8)</f>
        <v>12.8</v>
      </c>
      <c r="T25" s="8">
        <f ca="1">IFERROR(__xludf.DUMMYFUNCTION("""COMPUTED_VALUE"""),844.8)</f>
        <v>844.8</v>
      </c>
      <c r="U25" s="8"/>
      <c r="V25" s="8"/>
      <c r="W25" s="8"/>
      <c r="X25" s="8"/>
      <c r="Y25" s="8"/>
      <c r="Z25" s="37" t="str">
        <f ca="1">IFERROR(__xludf.DUMMYFUNCTION("""COMPUTED_VALUE"""),"KL1982")</f>
        <v>KL1982</v>
      </c>
      <c r="AA25" s="37" t="str">
        <f ca="1">IFERROR(__xludf.DUMMYFUNCTION("""COMPUTED_VALUE"""),"27/10/2024")</f>
        <v>27/10/2024</v>
      </c>
      <c r="AB25" s="64">
        <f ca="1">IFERROR(__xludf.DUMMYFUNCTION("""COMPUTED_VALUE"""),0.25)</f>
        <v>0.25</v>
      </c>
    </row>
    <row r="26" spans="1:28" ht="14.55" customHeight="1" x14ac:dyDescent="0.3">
      <c r="A26" s="8">
        <v>24</v>
      </c>
      <c r="B26" s="8"/>
      <c r="C26" s="8" t="str">
        <f ca="1">IFERROR(__xludf.DUMMYFUNCTION("""COMPUTED_VALUE"""),"DELETE")</f>
        <v>DELETE</v>
      </c>
      <c r="D26" s="8" t="str">
        <f ca="1">IFERROR(__xludf.DUMMYFUNCTION("""COMPUTED_VALUE"""),"15/08/2024")</f>
        <v>15/08/2024</v>
      </c>
      <c r="E26" s="16" t="str">
        <f ca="1">IFERROR(__xludf.DUMMYFUNCTION("""COMPUTED_VALUE"""),"Player")</f>
        <v>Player</v>
      </c>
      <c r="F26" s="8" t="str">
        <f ca="1">IFERROR(__xludf.DUMMYFUNCTION("""COMPUTED_VALUE"""),"Alsina Leal, Daniel")</f>
        <v>Alsina Leal, Daniel</v>
      </c>
      <c r="G26" s="16" t="str">
        <f ca="1">IFERROR(__xludf.DUMMYFUNCTION("""COMPUTED_VALUE"""),"ESP")</f>
        <v>ESP</v>
      </c>
      <c r="H26" s="8"/>
      <c r="I26" s="8">
        <f ca="1">IFERROR(__xludf.DUMMYFUNCTION("""COMPUTED_VALUE"""),100)</f>
        <v>100</v>
      </c>
      <c r="J26" s="8"/>
      <c r="K26" s="8"/>
      <c r="L26" s="8" t="str">
        <f ca="1">IFERROR(__xludf.DUMMYFUNCTION("""COMPUTED_VALUE"""),"White Rose")</f>
        <v>White Rose</v>
      </c>
      <c r="M26" s="16" t="str">
        <f ca="1">IFERROR(__xludf.DUMMYFUNCTION("""COMPUTED_VALUE"""),"ENG")</f>
        <v>ENG</v>
      </c>
      <c r="N26" s="16" t="str">
        <f ca="1">IFERROR(__xludf.DUMMYFUNCTION("""COMPUTED_VALUE"""),"Fontana")</f>
        <v>Fontana</v>
      </c>
      <c r="O26" s="8"/>
      <c r="P26" s="8">
        <f ca="1">IFERROR(__xludf.DUMMYFUNCTION("""COMPUTED_VALUE"""),104)</f>
        <v>104</v>
      </c>
      <c r="Q26" s="8">
        <f ca="1">IFERROR(__xludf.DUMMYFUNCTION("""COMPUTED_VALUE"""),8)</f>
        <v>8</v>
      </c>
      <c r="R26" s="8">
        <f ca="1">IFERROR(__xludf.DUMMYFUNCTION("""COMPUTED_VALUE"""),832)</f>
        <v>832</v>
      </c>
      <c r="S26" s="8">
        <f ca="1">IFERROR(__xludf.DUMMYFUNCTION("""COMPUTED_VALUE"""),12.8)</f>
        <v>12.8</v>
      </c>
      <c r="T26" s="8">
        <f ca="1">IFERROR(__xludf.DUMMYFUNCTION("""COMPUTED_VALUE"""),844.8)</f>
        <v>844.8</v>
      </c>
      <c r="U26" s="8"/>
      <c r="V26" s="8"/>
      <c r="W26" s="8"/>
      <c r="X26" s="8"/>
      <c r="Y26" s="8"/>
      <c r="Z26" s="37" t="str">
        <f ca="1">IFERROR(__xludf.DUMMYFUNCTION("""COMPUTED_VALUE"""),"W6 4115")</f>
        <v>W6 4115</v>
      </c>
      <c r="AA26" s="37" t="str">
        <f ca="1">IFERROR(__xludf.DUMMYFUNCTION("""COMPUTED_VALUE"""),"27/10/2024")</f>
        <v>27/10/2024</v>
      </c>
      <c r="AB26" s="64">
        <f ca="1">IFERROR(__xludf.DUMMYFUNCTION("""COMPUTED_VALUE"""),0.25)</f>
        <v>0.25</v>
      </c>
    </row>
    <row r="27" spans="1:28" ht="14.55" customHeight="1" x14ac:dyDescent="0.3">
      <c r="A27" s="8">
        <v>25</v>
      </c>
      <c r="B27" s="8"/>
      <c r="C27" s="8"/>
      <c r="D27" s="8" t="str">
        <f ca="1">IFERROR(__xludf.DUMMYFUNCTION("""COMPUTED_VALUE"""),"15/08/2024")</f>
        <v>15/08/2024</v>
      </c>
      <c r="E27" s="16" t="str">
        <f ca="1">IFERROR(__xludf.DUMMYFUNCTION("""COMPUTED_VALUE"""),"Player")</f>
        <v>Player</v>
      </c>
      <c r="F27" s="8" t="str">
        <f ca="1">IFERROR(__xludf.DUMMYFUNCTION("""COMPUTED_VALUE"""),"Stefansson, Vignir Vatnar")</f>
        <v>Stefansson, Vignir Vatnar</v>
      </c>
      <c r="G27" s="16" t="str">
        <f ca="1">IFERROR(__xludf.DUMMYFUNCTION("""COMPUTED_VALUE"""),"ISL")</f>
        <v>ISL</v>
      </c>
      <c r="H27" s="8"/>
      <c r="I27" s="8">
        <f ca="1">IFERROR(__xludf.DUMMYFUNCTION("""COMPUTED_VALUE"""),100)</f>
        <v>100</v>
      </c>
      <c r="J27" s="8"/>
      <c r="K27" s="8"/>
      <c r="L27" s="8" t="str">
        <f ca="1">IFERROR(__xludf.DUMMYFUNCTION("""COMPUTED_VALUE"""),"Breidablik Chess Club")</f>
        <v>Breidablik Chess Club</v>
      </c>
      <c r="M27" s="16" t="str">
        <f ca="1">IFERROR(__xludf.DUMMYFUNCTION("""COMPUTED_VALUE"""),"ISL")</f>
        <v>ISL</v>
      </c>
      <c r="N27" s="16" t="str">
        <f ca="1">IFERROR(__xludf.DUMMYFUNCTION("""COMPUTED_VALUE"""),"Fontana")</f>
        <v>Fontana</v>
      </c>
      <c r="O27" s="8" t="str">
        <f ca="1">IFERROR(__xludf.DUMMYFUNCTION("""COMPUTED_VALUE"""),"Benedikt Briem")</f>
        <v>Benedikt Briem</v>
      </c>
      <c r="P27" s="8">
        <f ca="1">IFERROR(__xludf.DUMMYFUNCTION("""COMPUTED_VALUE"""),84)</f>
        <v>84</v>
      </c>
      <c r="Q27" s="8">
        <f ca="1">IFERROR(__xludf.DUMMYFUNCTION("""COMPUTED_VALUE"""),8)</f>
        <v>8</v>
      </c>
      <c r="R27" s="8">
        <f ca="1">IFERROR(__xludf.DUMMYFUNCTION("""COMPUTED_VALUE"""),672)</f>
        <v>672</v>
      </c>
      <c r="S27" s="8">
        <f ca="1">IFERROR(__xludf.DUMMYFUNCTION("""COMPUTED_VALUE"""),12.8)</f>
        <v>12.8</v>
      </c>
      <c r="T27" s="8">
        <f ca="1">IFERROR(__xludf.DUMMYFUNCTION("""COMPUTED_VALUE"""),684.8)</f>
        <v>684.8</v>
      </c>
      <c r="U27" s="8"/>
      <c r="V27" s="8"/>
      <c r="W27" s="8"/>
      <c r="X27" s="8"/>
      <c r="Y27" s="8"/>
      <c r="Z27" s="37" t="str">
        <f ca="1">IFERROR(__xludf.DUMMYFUNCTION("""COMPUTED_VALUE"""),"LH 1411")</f>
        <v>LH 1411</v>
      </c>
      <c r="AA27" s="37" t="str">
        <f ca="1">IFERROR(__xludf.DUMMYFUNCTION("""COMPUTED_VALUE"""),"27/10/2024")</f>
        <v>27/10/2024</v>
      </c>
      <c r="AB27" s="64">
        <f ca="1">IFERROR(__xludf.DUMMYFUNCTION("""COMPUTED_VALUE"""),0.263888888888888)</f>
        <v>0.26388888888888801</v>
      </c>
    </row>
    <row r="28" spans="1:28" ht="14.55" customHeight="1" x14ac:dyDescent="0.3">
      <c r="A28" s="8">
        <v>26</v>
      </c>
      <c r="B28" s="8"/>
      <c r="C28" s="8"/>
      <c r="D28" s="8" t="str">
        <f ca="1">IFERROR(__xludf.DUMMYFUNCTION("""COMPUTED_VALUE"""),"15/08/2024")</f>
        <v>15/08/2024</v>
      </c>
      <c r="E28" s="16" t="str">
        <f ca="1">IFERROR(__xludf.DUMMYFUNCTION("""COMPUTED_VALUE"""),"Player")</f>
        <v>Player</v>
      </c>
      <c r="F28" s="8" t="str">
        <f ca="1">IFERROR(__xludf.DUMMYFUNCTION("""COMPUTED_VALUE"""),"Heimisson, Hilmir Freyr")</f>
        <v>Heimisson, Hilmir Freyr</v>
      </c>
      <c r="G28" s="16" t="str">
        <f ca="1">IFERROR(__xludf.DUMMYFUNCTION("""COMPUTED_VALUE"""),"ISL")</f>
        <v>ISL</v>
      </c>
      <c r="H28" s="8"/>
      <c r="I28" s="8">
        <f ca="1">IFERROR(__xludf.DUMMYFUNCTION("""COMPUTED_VALUE"""),100)</f>
        <v>100</v>
      </c>
      <c r="J28" s="8"/>
      <c r="K28" s="8"/>
      <c r="L28" s="8" t="str">
        <f ca="1">IFERROR(__xludf.DUMMYFUNCTION("""COMPUTED_VALUE"""),"Breidablik Chess Club")</f>
        <v>Breidablik Chess Club</v>
      </c>
      <c r="M28" s="16" t="str">
        <f ca="1">IFERROR(__xludf.DUMMYFUNCTION("""COMPUTED_VALUE"""),"ISL")</f>
        <v>ISL</v>
      </c>
      <c r="N28" s="16" t="str">
        <f ca="1">IFERROR(__xludf.DUMMYFUNCTION("""COMPUTED_VALUE"""),"Fontana")</f>
        <v>Fontana</v>
      </c>
      <c r="O28" s="8" t="str">
        <f ca="1">IFERROR(__xludf.DUMMYFUNCTION("""COMPUTED_VALUE"""),"Birkir Isak")</f>
        <v>Birkir Isak</v>
      </c>
      <c r="P28" s="8">
        <f ca="1">IFERROR(__xludf.DUMMYFUNCTION("""COMPUTED_VALUE"""),84)</f>
        <v>84</v>
      </c>
      <c r="Q28" s="8">
        <f ca="1">IFERROR(__xludf.DUMMYFUNCTION("""COMPUTED_VALUE"""),8)</f>
        <v>8</v>
      </c>
      <c r="R28" s="8">
        <f ca="1">IFERROR(__xludf.DUMMYFUNCTION("""COMPUTED_VALUE"""),672)</f>
        <v>672</v>
      </c>
      <c r="S28" s="8">
        <f ca="1">IFERROR(__xludf.DUMMYFUNCTION("""COMPUTED_VALUE"""),12.8)</f>
        <v>12.8</v>
      </c>
      <c r="T28" s="8">
        <f ca="1">IFERROR(__xludf.DUMMYFUNCTION("""COMPUTED_VALUE"""),684.8)</f>
        <v>684.8</v>
      </c>
      <c r="U28" s="8"/>
      <c r="V28" s="8"/>
      <c r="W28" s="8"/>
      <c r="X28" s="8"/>
      <c r="Y28" s="8"/>
      <c r="Z28" s="37" t="str">
        <f ca="1">IFERROR(__xludf.DUMMYFUNCTION("""COMPUTED_VALUE"""),"LH 1411")</f>
        <v>LH 1411</v>
      </c>
      <c r="AA28" s="37" t="str">
        <f ca="1">IFERROR(__xludf.DUMMYFUNCTION("""COMPUTED_VALUE"""),"27/10/2024")</f>
        <v>27/10/2024</v>
      </c>
      <c r="AB28" s="64">
        <f ca="1">IFERROR(__xludf.DUMMYFUNCTION("""COMPUTED_VALUE"""),0.263888888888888)</f>
        <v>0.26388888888888801</v>
      </c>
    </row>
    <row r="29" spans="1:28" ht="14.55" customHeight="1" x14ac:dyDescent="0.3">
      <c r="A29" s="8">
        <v>27</v>
      </c>
      <c r="B29" s="8"/>
      <c r="C29" s="8"/>
      <c r="D29" s="8" t="str">
        <f ca="1">IFERROR(__xludf.DUMMYFUNCTION("""COMPUTED_VALUE"""),"15/08/2024")</f>
        <v>15/08/2024</v>
      </c>
      <c r="E29" s="16" t="str">
        <f ca="1">IFERROR(__xludf.DUMMYFUNCTION("""COMPUTED_VALUE"""),"Player")</f>
        <v>Player</v>
      </c>
      <c r="F29" s="8" t="str">
        <f ca="1">IFERROR(__xludf.DUMMYFUNCTION("""COMPUTED_VALUE"""),"Birkisson, Bardur Orn")</f>
        <v>Birkisson, Bardur Orn</v>
      </c>
      <c r="G29" s="16" t="str">
        <f ca="1">IFERROR(__xludf.DUMMYFUNCTION("""COMPUTED_VALUE"""),"ISL")</f>
        <v>ISL</v>
      </c>
      <c r="H29" s="8"/>
      <c r="I29" s="8">
        <f ca="1">IFERROR(__xludf.DUMMYFUNCTION("""COMPUTED_VALUE"""),100)</f>
        <v>100</v>
      </c>
      <c r="J29" s="8"/>
      <c r="K29" s="8"/>
      <c r="L29" s="8" t="str">
        <f ca="1">IFERROR(__xludf.DUMMYFUNCTION("""COMPUTED_VALUE"""),"Breidablik Chess Club")</f>
        <v>Breidablik Chess Club</v>
      </c>
      <c r="M29" s="16" t="str">
        <f ca="1">IFERROR(__xludf.DUMMYFUNCTION("""COMPUTED_VALUE"""),"ISL")</f>
        <v>ISL</v>
      </c>
      <c r="N29" s="16" t="str">
        <f ca="1">IFERROR(__xludf.DUMMYFUNCTION("""COMPUTED_VALUE"""),"Fontana")</f>
        <v>Fontana</v>
      </c>
      <c r="O29" s="8" t="str">
        <f ca="1">IFERROR(__xludf.DUMMYFUNCTION("""COMPUTED_VALUE"""),"Bjorn Holm")</f>
        <v>Bjorn Holm</v>
      </c>
      <c r="P29" s="8">
        <f ca="1">IFERROR(__xludf.DUMMYFUNCTION("""COMPUTED_VALUE"""),84)</f>
        <v>84</v>
      </c>
      <c r="Q29" s="8">
        <f ca="1">IFERROR(__xludf.DUMMYFUNCTION("""COMPUTED_VALUE"""),8)</f>
        <v>8</v>
      </c>
      <c r="R29" s="8">
        <f ca="1">IFERROR(__xludf.DUMMYFUNCTION("""COMPUTED_VALUE"""),672)</f>
        <v>672</v>
      </c>
      <c r="S29" s="8">
        <f ca="1">IFERROR(__xludf.DUMMYFUNCTION("""COMPUTED_VALUE"""),12.8)</f>
        <v>12.8</v>
      </c>
      <c r="T29" s="8">
        <f ca="1">IFERROR(__xludf.DUMMYFUNCTION("""COMPUTED_VALUE"""),684.8)</f>
        <v>684.8</v>
      </c>
      <c r="U29" s="8"/>
      <c r="V29" s="8"/>
      <c r="W29" s="8"/>
      <c r="X29" s="8"/>
      <c r="Y29" s="8"/>
      <c r="Z29" s="37" t="str">
        <f ca="1">IFERROR(__xludf.DUMMYFUNCTION("""COMPUTED_VALUE"""),"LH 1411")</f>
        <v>LH 1411</v>
      </c>
      <c r="AA29" s="37" t="str">
        <f ca="1">IFERROR(__xludf.DUMMYFUNCTION("""COMPUTED_VALUE"""),"27/10/2024")</f>
        <v>27/10/2024</v>
      </c>
      <c r="AB29" s="64">
        <f ca="1">IFERROR(__xludf.DUMMYFUNCTION("""COMPUTED_VALUE"""),0.263888888888888)</f>
        <v>0.26388888888888801</v>
      </c>
    </row>
    <row r="30" spans="1:28" ht="14.55" customHeight="1" x14ac:dyDescent="0.3">
      <c r="A30" s="8">
        <v>28</v>
      </c>
      <c r="B30" s="8"/>
      <c r="C30" s="8"/>
      <c r="D30" s="8" t="str">
        <f ca="1">IFERROR(__xludf.DUMMYFUNCTION("""COMPUTED_VALUE"""),"15/08/2024")</f>
        <v>15/08/2024</v>
      </c>
      <c r="E30" s="16" t="str">
        <f ca="1">IFERROR(__xludf.DUMMYFUNCTION("""COMPUTED_VALUE"""),"Player")</f>
        <v>Player</v>
      </c>
      <c r="F30" s="8" t="str">
        <f ca="1">IFERROR(__xludf.DUMMYFUNCTION("""COMPUTED_VALUE"""),"Birkisson, Bjorn Holm")</f>
        <v>Birkisson, Bjorn Holm</v>
      </c>
      <c r="G30" s="16" t="str">
        <f ca="1">IFERROR(__xludf.DUMMYFUNCTION("""COMPUTED_VALUE"""),"ISL")</f>
        <v>ISL</v>
      </c>
      <c r="H30" s="8"/>
      <c r="I30" s="8">
        <f ca="1">IFERROR(__xludf.DUMMYFUNCTION("""COMPUTED_VALUE"""),100)</f>
        <v>100</v>
      </c>
      <c r="J30" s="8"/>
      <c r="K30" s="8"/>
      <c r="L30" s="8" t="str">
        <f ca="1">IFERROR(__xludf.DUMMYFUNCTION("""COMPUTED_VALUE"""),"Breidablik Chess Club")</f>
        <v>Breidablik Chess Club</v>
      </c>
      <c r="M30" s="16" t="str">
        <f ca="1">IFERROR(__xludf.DUMMYFUNCTION("""COMPUTED_VALUE"""),"ISL")</f>
        <v>ISL</v>
      </c>
      <c r="N30" s="16" t="str">
        <f ca="1">IFERROR(__xludf.DUMMYFUNCTION("""COMPUTED_VALUE"""),"Fontana")</f>
        <v>Fontana</v>
      </c>
      <c r="O30" s="8" t="str">
        <f ca="1">IFERROR(__xludf.DUMMYFUNCTION("""COMPUTED_VALUE"""),"Bardur Orn")</f>
        <v>Bardur Orn</v>
      </c>
      <c r="P30" s="8">
        <f ca="1">IFERROR(__xludf.DUMMYFUNCTION("""COMPUTED_VALUE"""),84)</f>
        <v>84</v>
      </c>
      <c r="Q30" s="8">
        <f ca="1">IFERROR(__xludf.DUMMYFUNCTION("""COMPUTED_VALUE"""),8)</f>
        <v>8</v>
      </c>
      <c r="R30" s="8">
        <f ca="1">IFERROR(__xludf.DUMMYFUNCTION("""COMPUTED_VALUE"""),672)</f>
        <v>672</v>
      </c>
      <c r="S30" s="8">
        <f ca="1">IFERROR(__xludf.DUMMYFUNCTION("""COMPUTED_VALUE"""),12.8)</f>
        <v>12.8</v>
      </c>
      <c r="T30" s="8">
        <f ca="1">IFERROR(__xludf.DUMMYFUNCTION("""COMPUTED_VALUE"""),684.8)</f>
        <v>684.8</v>
      </c>
      <c r="U30" s="8"/>
      <c r="V30" s="8"/>
      <c r="W30" s="8"/>
      <c r="X30" s="8"/>
      <c r="Y30" s="8"/>
      <c r="Z30" s="37" t="str">
        <f ca="1">IFERROR(__xludf.DUMMYFUNCTION("""COMPUTED_VALUE"""),"LH 1411")</f>
        <v>LH 1411</v>
      </c>
      <c r="AA30" s="37" t="str">
        <f ca="1">IFERROR(__xludf.DUMMYFUNCTION("""COMPUTED_VALUE"""),"27/10/2024")</f>
        <v>27/10/2024</v>
      </c>
      <c r="AB30" s="64">
        <f ca="1">IFERROR(__xludf.DUMMYFUNCTION("""COMPUTED_VALUE"""),0.263888888888888)</f>
        <v>0.26388888888888801</v>
      </c>
    </row>
    <row r="31" spans="1:28" ht="14.55" customHeight="1" x14ac:dyDescent="0.3">
      <c r="A31" s="8">
        <v>29</v>
      </c>
      <c r="B31" s="8"/>
      <c r="C31" s="8"/>
      <c r="D31" s="8" t="str">
        <f ca="1">IFERROR(__xludf.DUMMYFUNCTION("""COMPUTED_VALUE"""),"15/08/2024")</f>
        <v>15/08/2024</v>
      </c>
      <c r="E31" s="16" t="str">
        <f ca="1">IFERROR(__xludf.DUMMYFUNCTION("""COMPUTED_VALUE"""),"Player")</f>
        <v>Player</v>
      </c>
      <c r="F31" s="8" t="str">
        <f ca="1">IFERROR(__xludf.DUMMYFUNCTION("""COMPUTED_VALUE"""),"Johannsson, Birkir Isak")</f>
        <v>Johannsson, Birkir Isak</v>
      </c>
      <c r="G31" s="16" t="str">
        <f ca="1">IFERROR(__xludf.DUMMYFUNCTION("""COMPUTED_VALUE"""),"ISL")</f>
        <v>ISL</v>
      </c>
      <c r="H31" s="8"/>
      <c r="I31" s="8">
        <f ca="1">IFERROR(__xludf.DUMMYFUNCTION("""COMPUTED_VALUE"""),100)</f>
        <v>100</v>
      </c>
      <c r="J31" s="8"/>
      <c r="K31" s="8"/>
      <c r="L31" s="8" t="str">
        <f ca="1">IFERROR(__xludf.DUMMYFUNCTION("""COMPUTED_VALUE"""),"Breidablik Chess Club")</f>
        <v>Breidablik Chess Club</v>
      </c>
      <c r="M31" s="16" t="str">
        <f ca="1">IFERROR(__xludf.DUMMYFUNCTION("""COMPUTED_VALUE"""),"ISL")</f>
        <v>ISL</v>
      </c>
      <c r="N31" s="16" t="str">
        <f ca="1">IFERROR(__xludf.DUMMYFUNCTION("""COMPUTED_VALUE"""),"Fontana")</f>
        <v>Fontana</v>
      </c>
      <c r="O31" s="8" t="str">
        <f ca="1">IFERROR(__xludf.DUMMYFUNCTION("""COMPUTED_VALUE"""),"Hilmir Freyr")</f>
        <v>Hilmir Freyr</v>
      </c>
      <c r="P31" s="8">
        <f ca="1">IFERROR(__xludf.DUMMYFUNCTION("""COMPUTED_VALUE"""),84)</f>
        <v>84</v>
      </c>
      <c r="Q31" s="8">
        <f ca="1">IFERROR(__xludf.DUMMYFUNCTION("""COMPUTED_VALUE"""),8)</f>
        <v>8</v>
      </c>
      <c r="R31" s="8">
        <f ca="1">IFERROR(__xludf.DUMMYFUNCTION("""COMPUTED_VALUE"""),672)</f>
        <v>672</v>
      </c>
      <c r="S31" s="8">
        <f ca="1">IFERROR(__xludf.DUMMYFUNCTION("""COMPUTED_VALUE"""),12.8)</f>
        <v>12.8</v>
      </c>
      <c r="T31" s="8">
        <f ca="1">IFERROR(__xludf.DUMMYFUNCTION("""COMPUTED_VALUE"""),684.8)</f>
        <v>684.8</v>
      </c>
      <c r="U31" s="8"/>
      <c r="V31" s="8"/>
      <c r="W31" s="8"/>
      <c r="X31" s="8"/>
      <c r="Y31" s="8"/>
      <c r="Z31" s="37" t="str">
        <f ca="1">IFERROR(__xludf.DUMMYFUNCTION("""COMPUTED_VALUE"""),"LH 1411")</f>
        <v>LH 1411</v>
      </c>
      <c r="AA31" s="37" t="str">
        <f ca="1">IFERROR(__xludf.DUMMYFUNCTION("""COMPUTED_VALUE"""),"27/10/2024")</f>
        <v>27/10/2024</v>
      </c>
      <c r="AB31" s="64">
        <f ca="1">IFERROR(__xludf.DUMMYFUNCTION("""COMPUTED_VALUE"""),0.263888888888888)</f>
        <v>0.26388888888888801</v>
      </c>
    </row>
    <row r="32" spans="1:28" ht="14.55" customHeight="1" x14ac:dyDescent="0.3">
      <c r="A32" s="8">
        <v>30</v>
      </c>
      <c r="B32" s="8"/>
      <c r="C32" s="8"/>
      <c r="D32" s="8" t="str">
        <f ca="1">IFERROR(__xludf.DUMMYFUNCTION("""COMPUTED_VALUE"""),"15/08/2024")</f>
        <v>15/08/2024</v>
      </c>
      <c r="E32" s="16" t="str">
        <f ca="1">IFERROR(__xludf.DUMMYFUNCTION("""COMPUTED_VALUE"""),"Player")</f>
        <v>Player</v>
      </c>
      <c r="F32" s="8" t="str">
        <f ca="1">IFERROR(__xludf.DUMMYFUNCTION("""COMPUTED_VALUE"""),"Briem, Benedikt")</f>
        <v>Briem, Benedikt</v>
      </c>
      <c r="G32" s="16" t="str">
        <f ca="1">IFERROR(__xludf.DUMMYFUNCTION("""COMPUTED_VALUE"""),"ISL")</f>
        <v>ISL</v>
      </c>
      <c r="H32" s="8"/>
      <c r="I32" s="8">
        <f ca="1">IFERROR(__xludf.DUMMYFUNCTION("""COMPUTED_VALUE"""),100)</f>
        <v>100</v>
      </c>
      <c r="J32" s="8"/>
      <c r="K32" s="8"/>
      <c r="L32" s="8" t="str">
        <f ca="1">IFERROR(__xludf.DUMMYFUNCTION("""COMPUTED_VALUE"""),"Breidablik Chess Club")</f>
        <v>Breidablik Chess Club</v>
      </c>
      <c r="M32" s="16" t="str">
        <f ca="1">IFERROR(__xludf.DUMMYFUNCTION("""COMPUTED_VALUE"""),"ISL")</f>
        <v>ISL</v>
      </c>
      <c r="N32" s="16" t="str">
        <f ca="1">IFERROR(__xludf.DUMMYFUNCTION("""COMPUTED_VALUE"""),"Fontana")</f>
        <v>Fontana</v>
      </c>
      <c r="O32" s="8" t="str">
        <f ca="1">IFERROR(__xludf.DUMMYFUNCTION("""COMPUTED_VALUE"""),"Vignir Vatnar")</f>
        <v>Vignir Vatnar</v>
      </c>
      <c r="P32" s="8">
        <f ca="1">IFERROR(__xludf.DUMMYFUNCTION("""COMPUTED_VALUE"""),84)</f>
        <v>84</v>
      </c>
      <c r="Q32" s="8">
        <f ca="1">IFERROR(__xludf.DUMMYFUNCTION("""COMPUTED_VALUE"""),8)</f>
        <v>8</v>
      </c>
      <c r="R32" s="8">
        <f ca="1">IFERROR(__xludf.DUMMYFUNCTION("""COMPUTED_VALUE"""),672)</f>
        <v>672</v>
      </c>
      <c r="S32" s="8">
        <f ca="1">IFERROR(__xludf.DUMMYFUNCTION("""COMPUTED_VALUE"""),12.8)</f>
        <v>12.8</v>
      </c>
      <c r="T32" s="8">
        <f ca="1">IFERROR(__xludf.DUMMYFUNCTION("""COMPUTED_VALUE"""),684.8)</f>
        <v>684.8</v>
      </c>
      <c r="U32" s="8"/>
      <c r="V32" s="8"/>
      <c r="W32" s="8"/>
      <c r="X32" s="8"/>
      <c r="Y32" s="8"/>
      <c r="Z32" s="37" t="str">
        <f ca="1">IFERROR(__xludf.DUMMYFUNCTION("""COMPUTED_VALUE"""),"LH 1411")</f>
        <v>LH 1411</v>
      </c>
      <c r="AA32" s="37" t="str">
        <f ca="1">IFERROR(__xludf.DUMMYFUNCTION("""COMPUTED_VALUE"""),"27/10/2024")</f>
        <v>27/10/2024</v>
      </c>
      <c r="AB32" s="64">
        <f ca="1">IFERROR(__xludf.DUMMYFUNCTION("""COMPUTED_VALUE"""),0.263888888888888)</f>
        <v>0.26388888888888801</v>
      </c>
    </row>
    <row r="33" spans="1:28" ht="14.55" customHeight="1" x14ac:dyDescent="0.3">
      <c r="A33" s="8">
        <v>31</v>
      </c>
      <c r="B33" s="8"/>
      <c r="C33" s="8"/>
      <c r="D33" s="8" t="str">
        <f ca="1">IFERROR(__xludf.DUMMYFUNCTION("""COMPUTED_VALUE"""),"13/08/2024")</f>
        <v>13/08/2024</v>
      </c>
      <c r="E33" s="16" t="str">
        <f ca="1">IFERROR(__xludf.DUMMYFUNCTION("""COMPUTED_VALUE"""),"Player")</f>
        <v>Player</v>
      </c>
      <c r="F33" s="8" t="str">
        <f ca="1">IFERROR(__xludf.DUMMYFUNCTION("""COMPUTED_VALUE"""),"Krause, Jonah")</f>
        <v>Krause, Jonah</v>
      </c>
      <c r="G33" s="16" t="str">
        <f ca="1">IFERROR(__xludf.DUMMYFUNCTION("""COMPUTED_VALUE"""),"GER")</f>
        <v>GER</v>
      </c>
      <c r="H33" s="8"/>
      <c r="I33" s="8">
        <f ca="1">IFERROR(__xludf.DUMMYFUNCTION("""COMPUTED_VALUE"""),100)</f>
        <v>100</v>
      </c>
      <c r="J33" s="8"/>
      <c r="K33" s="8"/>
      <c r="L33" s="8" t="str">
        <f ca="1">IFERROR(__xludf.DUMMYFUNCTION("""COMPUTED_VALUE"""),"FC ST.Pauli 1910 eV Sabt")</f>
        <v>FC ST.Pauli 1910 eV Sabt</v>
      </c>
      <c r="M33" s="16" t="str">
        <f ca="1">IFERROR(__xludf.DUMMYFUNCTION("""COMPUTED_VALUE"""),"GER")</f>
        <v>GER</v>
      </c>
      <c r="N33" s="16" t="str">
        <f ca="1">IFERROR(__xludf.DUMMYFUNCTION("""COMPUTED_VALUE"""),"Fontana")</f>
        <v>Fontana</v>
      </c>
      <c r="O33" s="8" t="str">
        <f ca="1">IFERROR(__xludf.DUMMYFUNCTION("""COMPUTED_VALUE"""),"Benedict Krause")</f>
        <v>Benedict Krause</v>
      </c>
      <c r="P33" s="8">
        <f ca="1">IFERROR(__xludf.DUMMYFUNCTION("""COMPUTED_VALUE"""),84)</f>
        <v>84</v>
      </c>
      <c r="Q33" s="8">
        <f ca="1">IFERROR(__xludf.DUMMYFUNCTION("""COMPUTED_VALUE"""),8)</f>
        <v>8</v>
      </c>
      <c r="R33" s="8">
        <f ca="1">IFERROR(__xludf.DUMMYFUNCTION("""COMPUTED_VALUE"""),672)</f>
        <v>672</v>
      </c>
      <c r="S33" s="8">
        <f ca="1">IFERROR(__xludf.DUMMYFUNCTION("""COMPUTED_VALUE"""),12.8)</f>
        <v>12.8</v>
      </c>
      <c r="T33" s="8">
        <f ca="1">IFERROR(__xludf.DUMMYFUNCTION("""COMPUTED_VALUE"""),684.8)</f>
        <v>684.8</v>
      </c>
      <c r="U33" s="8"/>
      <c r="V33" s="8"/>
      <c r="W33" s="8"/>
      <c r="X33" s="8"/>
      <c r="Y33" s="8"/>
      <c r="Z33" s="37" t="str">
        <f ca="1">IFERROR(__xludf.DUMMYFUNCTION("""COMPUTED_VALUE"""),"LH1411")</f>
        <v>LH1411</v>
      </c>
      <c r="AA33" s="37" t="str">
        <f ca="1">IFERROR(__xludf.DUMMYFUNCTION("""COMPUTED_VALUE"""),"27/10/2024")</f>
        <v>27/10/2024</v>
      </c>
      <c r="AB33" s="64">
        <f ca="1">IFERROR(__xludf.DUMMYFUNCTION("""COMPUTED_VALUE"""),0.263888888888888)</f>
        <v>0.26388888888888801</v>
      </c>
    </row>
    <row r="34" spans="1:28" ht="14.55" customHeight="1" x14ac:dyDescent="0.3">
      <c r="A34" s="8">
        <v>32</v>
      </c>
      <c r="B34" s="8"/>
      <c r="C34" s="8"/>
      <c r="D34" s="8" t="str">
        <f ca="1">IFERROR(__xludf.DUMMYFUNCTION("""COMPUTED_VALUE"""),"18/08/2024")</f>
        <v>18/08/2024</v>
      </c>
      <c r="E34" s="16" t="str">
        <f ca="1">IFERROR(__xludf.DUMMYFUNCTION("""COMPUTED_VALUE"""),"Player")</f>
        <v>Player</v>
      </c>
      <c r="F34" s="8" t="str">
        <f ca="1">IFERROR(__xludf.DUMMYFUNCTION("""COMPUTED_VALUE"""),"Nolan, Conor")</f>
        <v>Nolan, Conor</v>
      </c>
      <c r="G34" s="16" t="str">
        <f ca="1">IFERROR(__xludf.DUMMYFUNCTION("""COMPUTED_VALUE"""),"IRL")</f>
        <v>IRL</v>
      </c>
      <c r="H34" s="8"/>
      <c r="I34" s="8">
        <f ca="1">IFERROR(__xludf.DUMMYFUNCTION("""COMPUTED_VALUE"""),100)</f>
        <v>100</v>
      </c>
      <c r="J34" s="8"/>
      <c r="K34" s="8"/>
      <c r="L34" s="8" t="str">
        <f ca="1">IFERROR(__xludf.DUMMYFUNCTION("""COMPUTED_VALUE"""),"Gonzaga")</f>
        <v>Gonzaga</v>
      </c>
      <c r="M34" s="16" t="str">
        <f ca="1">IFERROR(__xludf.DUMMYFUNCTION("""COMPUTED_VALUE"""),"IRL")</f>
        <v>IRL</v>
      </c>
      <c r="N34" s="16" t="str">
        <f ca="1">IFERROR(__xludf.DUMMYFUNCTION("""COMPUTED_VALUE"""),"Fontana")</f>
        <v>Fontana</v>
      </c>
      <c r="O34" s="8" t="str">
        <f ca="1">IFERROR(__xludf.DUMMYFUNCTION("""COMPUTED_VALUE"""),"Nolan, Dermot")</f>
        <v>Nolan, Dermot</v>
      </c>
      <c r="P34" s="8"/>
      <c r="Q34" s="8">
        <f ca="1">IFERROR(__xludf.DUMMYFUNCTION("""COMPUTED_VALUE"""),8)</f>
        <v>8</v>
      </c>
      <c r="R34" s="8">
        <f ca="1">IFERROR(__xludf.DUMMYFUNCTION("""COMPUTED_VALUE"""),0)</f>
        <v>0</v>
      </c>
      <c r="S34" s="8">
        <f ca="1">IFERROR(__xludf.DUMMYFUNCTION("""COMPUTED_VALUE"""),12.8)</f>
        <v>12.8</v>
      </c>
      <c r="T34" s="8">
        <f ca="1">IFERROR(__xludf.DUMMYFUNCTION("""COMPUTED_VALUE"""),12.8)</f>
        <v>12.8</v>
      </c>
      <c r="U34" s="8"/>
      <c r="V34" s="8"/>
      <c r="W34" s="8"/>
      <c r="X34" s="8"/>
      <c r="Y34" s="8"/>
      <c r="Z34" s="37" t="str">
        <f ca="1">IFERROR(__xludf.DUMMYFUNCTION("""COMPUTED_VALUE"""),"LH1411")</f>
        <v>LH1411</v>
      </c>
      <c r="AA34" s="37" t="str">
        <f ca="1">IFERROR(__xludf.DUMMYFUNCTION("""COMPUTED_VALUE"""),"27/10/2024")</f>
        <v>27/10/2024</v>
      </c>
      <c r="AB34" s="64">
        <f ca="1">IFERROR(__xludf.DUMMYFUNCTION("""COMPUTED_VALUE"""),0.263888888888888)</f>
        <v>0.26388888888888801</v>
      </c>
    </row>
    <row r="35" spans="1:28" ht="14.55" customHeight="1" x14ac:dyDescent="0.3">
      <c r="A35" s="8">
        <v>33</v>
      </c>
      <c r="B35" s="8"/>
      <c r="C35" s="8"/>
      <c r="D35" s="8" t="str">
        <f ca="1">IFERROR(__xludf.DUMMYFUNCTION("""COMPUTED_VALUE"""),"19/08/2024")</f>
        <v>19/08/2024</v>
      </c>
      <c r="E35" s="16" t="str">
        <f ca="1">IFERROR(__xludf.DUMMYFUNCTION("""COMPUTED_VALUE"""),"Player")</f>
        <v>Player</v>
      </c>
      <c r="F35" s="8" t="str">
        <f ca="1">IFERROR(__xludf.DUMMYFUNCTION("""COMPUTED_VALUE"""),"Nolan, Dermot")</f>
        <v>Nolan, Dermot</v>
      </c>
      <c r="G35" s="16" t="str">
        <f ca="1">IFERROR(__xludf.DUMMYFUNCTION("""COMPUTED_VALUE"""),"IRL")</f>
        <v>IRL</v>
      </c>
      <c r="H35" s="8"/>
      <c r="I35" s="8">
        <f ca="1">IFERROR(__xludf.DUMMYFUNCTION("""COMPUTED_VALUE"""),100)</f>
        <v>100</v>
      </c>
      <c r="J35" s="8"/>
      <c r="K35" s="8"/>
      <c r="L35" s="8" t="str">
        <f ca="1">IFERROR(__xludf.DUMMYFUNCTION("""COMPUTED_VALUE"""),"Gonzaga")</f>
        <v>Gonzaga</v>
      </c>
      <c r="M35" s="16" t="str">
        <f ca="1">IFERROR(__xludf.DUMMYFUNCTION("""COMPUTED_VALUE"""),"IRL")</f>
        <v>IRL</v>
      </c>
      <c r="N35" s="16" t="str">
        <f ca="1">IFERROR(__xludf.DUMMYFUNCTION("""COMPUTED_VALUE"""),"Fontana")</f>
        <v>Fontana</v>
      </c>
      <c r="O35" s="8" t="str">
        <f ca="1">IFERROR(__xludf.DUMMYFUNCTION("""COMPUTED_VALUE"""),"Nolan, Conor")</f>
        <v>Nolan, Conor</v>
      </c>
      <c r="P35" s="8"/>
      <c r="Q35" s="8">
        <f ca="1">IFERROR(__xludf.DUMMYFUNCTION("""COMPUTED_VALUE"""),8)</f>
        <v>8</v>
      </c>
      <c r="R35" s="8">
        <f ca="1">IFERROR(__xludf.DUMMYFUNCTION("""COMPUTED_VALUE"""),0)</f>
        <v>0</v>
      </c>
      <c r="S35" s="8">
        <f ca="1">IFERROR(__xludf.DUMMYFUNCTION("""COMPUTED_VALUE"""),12.8)</f>
        <v>12.8</v>
      </c>
      <c r="T35" s="8">
        <f ca="1">IFERROR(__xludf.DUMMYFUNCTION("""COMPUTED_VALUE"""),12.8)</f>
        <v>12.8</v>
      </c>
      <c r="U35" s="8"/>
      <c r="V35" s="8"/>
      <c r="W35" s="8"/>
      <c r="X35" s="8"/>
      <c r="Y35" s="8"/>
      <c r="Z35" s="37" t="str">
        <f ca="1">IFERROR(__xludf.DUMMYFUNCTION("""COMPUTED_VALUE"""),"LH1411")</f>
        <v>LH1411</v>
      </c>
      <c r="AA35" s="37" t="str">
        <f ca="1">IFERROR(__xludf.DUMMYFUNCTION("""COMPUTED_VALUE"""),"27/10/2024")</f>
        <v>27/10/2024</v>
      </c>
      <c r="AB35" s="64">
        <f ca="1">IFERROR(__xludf.DUMMYFUNCTION("""COMPUTED_VALUE"""),0.263888888888888)</f>
        <v>0.26388888888888801</v>
      </c>
    </row>
    <row r="36" spans="1:28" ht="14.55" customHeight="1" x14ac:dyDescent="0.3">
      <c r="A36" s="8">
        <v>34</v>
      </c>
      <c r="B36" s="8"/>
      <c r="C36" s="8"/>
      <c r="D36" s="13">
        <f ca="1">IFERROR(__xludf.DUMMYFUNCTION("""COMPUTED_VALUE"""),45299)</f>
        <v>45299</v>
      </c>
      <c r="E36" s="16" t="str">
        <f ca="1">IFERROR(__xludf.DUMMYFUNCTION("""COMPUTED_VALUE"""),"Player")</f>
        <v>Player</v>
      </c>
      <c r="F36" s="8" t="str">
        <f ca="1">IFERROR(__xludf.DUMMYFUNCTION("""COMPUTED_VALUE"""),"Nevanlinna, Risto")</f>
        <v>Nevanlinna, Risto</v>
      </c>
      <c r="G36" s="16" t="str">
        <f ca="1">IFERROR(__xludf.DUMMYFUNCTION("""COMPUTED_VALUE"""),"FIN")</f>
        <v>FIN</v>
      </c>
      <c r="H36" s="8"/>
      <c r="I36" s="8">
        <f ca="1">IFERROR(__xludf.DUMMYFUNCTION("""COMPUTED_VALUE"""),100)</f>
        <v>100</v>
      </c>
      <c r="J36" s="8"/>
      <c r="K36" s="8"/>
      <c r="L36" s="8" t="str">
        <f ca="1">IFERROR(__xludf.DUMMYFUNCTION("""COMPUTED_VALUE"""),"Jyväs-Shakki")</f>
        <v>Jyväs-Shakki</v>
      </c>
      <c r="M36" s="16" t="str">
        <f ca="1">IFERROR(__xludf.DUMMYFUNCTION("""COMPUTED_VALUE"""),"FIN")</f>
        <v>FIN</v>
      </c>
      <c r="N36" s="16" t="str">
        <f ca="1">IFERROR(__xludf.DUMMYFUNCTION("""COMPUTED_VALUE"""),"Fontana")</f>
        <v>Fontana</v>
      </c>
      <c r="O36" s="8"/>
      <c r="P36" s="8">
        <f ca="1">IFERROR(__xludf.DUMMYFUNCTION("""COMPUTED_VALUE"""),104)</f>
        <v>104</v>
      </c>
      <c r="Q36" s="8">
        <f ca="1">IFERROR(__xludf.DUMMYFUNCTION("""COMPUTED_VALUE"""),8)</f>
        <v>8</v>
      </c>
      <c r="R36" s="8">
        <f ca="1">IFERROR(__xludf.DUMMYFUNCTION("""COMPUTED_VALUE"""),832)</f>
        <v>832</v>
      </c>
      <c r="S36" s="8">
        <f ca="1">IFERROR(__xludf.DUMMYFUNCTION("""COMPUTED_VALUE"""),12.8)</f>
        <v>12.8</v>
      </c>
      <c r="T36" s="8">
        <f ca="1">IFERROR(__xludf.DUMMYFUNCTION("""COMPUTED_VALUE"""),844.8)</f>
        <v>844.8</v>
      </c>
      <c r="U36" s="8"/>
      <c r="V36" s="8"/>
      <c r="W36" s="8"/>
      <c r="X36" s="8"/>
      <c r="Y36" s="8"/>
      <c r="Z36" s="37" t="str">
        <f ca="1">IFERROR(__xludf.DUMMYFUNCTION("""COMPUTED_VALUE"""),"LH1411")</f>
        <v>LH1411</v>
      </c>
      <c r="AA36" s="37" t="str">
        <f ca="1">IFERROR(__xludf.DUMMYFUNCTION("""COMPUTED_VALUE"""),"27/10/2024")</f>
        <v>27/10/2024</v>
      </c>
      <c r="AB36" s="64">
        <f ca="1">IFERROR(__xludf.DUMMYFUNCTION("""COMPUTED_VALUE"""),0.263888888888888)</f>
        <v>0.26388888888888801</v>
      </c>
    </row>
    <row r="37" spans="1:28" ht="14.55" customHeight="1" x14ac:dyDescent="0.3">
      <c r="A37" s="8">
        <v>35</v>
      </c>
      <c r="B37" s="8"/>
      <c r="C37" s="8"/>
      <c r="D37" s="13">
        <f ca="1">IFERROR(__xludf.DUMMYFUNCTION("""COMPUTED_VALUE"""),45299)</f>
        <v>45299</v>
      </c>
      <c r="E37" s="16" t="str">
        <f ca="1">IFERROR(__xludf.DUMMYFUNCTION("""COMPUTED_VALUE"""),"Player")</f>
        <v>Player</v>
      </c>
      <c r="F37" s="8" t="str">
        <f ca="1">IFERROR(__xludf.DUMMYFUNCTION("""COMPUTED_VALUE"""),"Franssila, Tommi")</f>
        <v>Franssila, Tommi</v>
      </c>
      <c r="G37" s="16" t="str">
        <f ca="1">IFERROR(__xludf.DUMMYFUNCTION("""COMPUTED_VALUE"""),"FIN")</f>
        <v>FIN</v>
      </c>
      <c r="H37" s="8"/>
      <c r="I37" s="8">
        <f ca="1">IFERROR(__xludf.DUMMYFUNCTION("""COMPUTED_VALUE"""),100)</f>
        <v>100</v>
      </c>
      <c r="J37" s="8"/>
      <c r="K37" s="8"/>
      <c r="L37" s="8" t="str">
        <f ca="1">IFERROR(__xludf.DUMMYFUNCTION("""COMPUTED_VALUE"""),"Jyväs-Shakki")</f>
        <v>Jyväs-Shakki</v>
      </c>
      <c r="M37" s="16" t="str">
        <f ca="1">IFERROR(__xludf.DUMMYFUNCTION("""COMPUTED_VALUE"""),"FIN")</f>
        <v>FIN</v>
      </c>
      <c r="N37" s="16" t="str">
        <f ca="1">IFERROR(__xludf.DUMMYFUNCTION("""COMPUTED_VALUE"""),"Fontana")</f>
        <v>Fontana</v>
      </c>
      <c r="O37" s="8"/>
      <c r="P37" s="8">
        <f ca="1">IFERROR(__xludf.DUMMYFUNCTION("""COMPUTED_VALUE"""),104)</f>
        <v>104</v>
      </c>
      <c r="Q37" s="8">
        <f ca="1">IFERROR(__xludf.DUMMYFUNCTION("""COMPUTED_VALUE"""),8)</f>
        <v>8</v>
      </c>
      <c r="R37" s="8">
        <f ca="1">IFERROR(__xludf.DUMMYFUNCTION("""COMPUTED_VALUE"""),832)</f>
        <v>832</v>
      </c>
      <c r="S37" s="8">
        <f ca="1">IFERROR(__xludf.DUMMYFUNCTION("""COMPUTED_VALUE"""),12.8)</f>
        <v>12.8</v>
      </c>
      <c r="T37" s="8">
        <f ca="1">IFERROR(__xludf.DUMMYFUNCTION("""COMPUTED_VALUE"""),844.8)</f>
        <v>844.8</v>
      </c>
      <c r="U37" s="8"/>
      <c r="V37" s="8"/>
      <c r="W37" s="8"/>
      <c r="X37" s="8"/>
      <c r="Y37" s="8"/>
      <c r="Z37" s="37" t="str">
        <f ca="1">IFERROR(__xludf.DUMMYFUNCTION("""COMPUTED_VALUE"""),"LH1411")</f>
        <v>LH1411</v>
      </c>
      <c r="AA37" s="37" t="str">
        <f ca="1">IFERROR(__xludf.DUMMYFUNCTION("""COMPUTED_VALUE"""),"27/10/2024")</f>
        <v>27/10/2024</v>
      </c>
      <c r="AB37" s="64">
        <f ca="1">IFERROR(__xludf.DUMMYFUNCTION("""COMPUTED_VALUE"""),0.263888888888888)</f>
        <v>0.26388888888888801</v>
      </c>
    </row>
    <row r="38" spans="1:28" ht="14.55" customHeight="1" x14ac:dyDescent="0.3">
      <c r="A38" s="8">
        <v>36</v>
      </c>
      <c r="B38" s="8"/>
      <c r="C38" s="8"/>
      <c r="D38" s="13">
        <f ca="1">IFERROR(__xludf.DUMMYFUNCTION("""COMPUTED_VALUE"""),45299)</f>
        <v>45299</v>
      </c>
      <c r="E38" s="16" t="str">
        <f ca="1">IFERROR(__xludf.DUMMYFUNCTION("""COMPUTED_VALUE"""),"Player")</f>
        <v>Player</v>
      </c>
      <c r="F38" s="8" t="str">
        <f ca="1">IFERROR(__xludf.DUMMYFUNCTION("""COMPUTED_VALUE"""),"Hartio, Ilkka")</f>
        <v>Hartio, Ilkka</v>
      </c>
      <c r="G38" s="16" t="str">
        <f ca="1">IFERROR(__xludf.DUMMYFUNCTION("""COMPUTED_VALUE"""),"FIN")</f>
        <v>FIN</v>
      </c>
      <c r="H38" s="8"/>
      <c r="I38" s="8">
        <f ca="1">IFERROR(__xludf.DUMMYFUNCTION("""COMPUTED_VALUE"""),100)</f>
        <v>100</v>
      </c>
      <c r="J38" s="8"/>
      <c r="K38" s="8"/>
      <c r="L38" s="8" t="str">
        <f ca="1">IFERROR(__xludf.DUMMYFUNCTION("""COMPUTED_VALUE"""),"Jyväs-Shakki")</f>
        <v>Jyväs-Shakki</v>
      </c>
      <c r="M38" s="16" t="str">
        <f ca="1">IFERROR(__xludf.DUMMYFUNCTION("""COMPUTED_VALUE"""),"FIN")</f>
        <v>FIN</v>
      </c>
      <c r="N38" s="16" t="str">
        <f ca="1">IFERROR(__xludf.DUMMYFUNCTION("""COMPUTED_VALUE"""),"Fontana")</f>
        <v>Fontana</v>
      </c>
      <c r="O38" s="8"/>
      <c r="P38" s="8">
        <f ca="1">IFERROR(__xludf.DUMMYFUNCTION("""COMPUTED_VALUE"""),104)</f>
        <v>104</v>
      </c>
      <c r="Q38" s="8">
        <f ca="1">IFERROR(__xludf.DUMMYFUNCTION("""COMPUTED_VALUE"""),8)</f>
        <v>8</v>
      </c>
      <c r="R38" s="8">
        <f ca="1">IFERROR(__xludf.DUMMYFUNCTION("""COMPUTED_VALUE"""),832)</f>
        <v>832</v>
      </c>
      <c r="S38" s="8">
        <f ca="1">IFERROR(__xludf.DUMMYFUNCTION("""COMPUTED_VALUE"""),12.8)</f>
        <v>12.8</v>
      </c>
      <c r="T38" s="8">
        <f ca="1">IFERROR(__xludf.DUMMYFUNCTION("""COMPUTED_VALUE"""),844.8)</f>
        <v>844.8</v>
      </c>
      <c r="U38" s="8"/>
      <c r="V38" s="8"/>
      <c r="W38" s="8"/>
      <c r="X38" s="8"/>
      <c r="Y38" s="8"/>
      <c r="Z38" s="37" t="str">
        <f ca="1">IFERROR(__xludf.DUMMYFUNCTION("""COMPUTED_VALUE"""),"LH1411")</f>
        <v>LH1411</v>
      </c>
      <c r="AA38" s="37" t="str">
        <f ca="1">IFERROR(__xludf.DUMMYFUNCTION("""COMPUTED_VALUE"""),"27/10/2024")</f>
        <v>27/10/2024</v>
      </c>
      <c r="AB38" s="64">
        <f ca="1">IFERROR(__xludf.DUMMYFUNCTION("""COMPUTED_VALUE"""),0.263888888888888)</f>
        <v>0.26388888888888801</v>
      </c>
    </row>
    <row r="39" spans="1:28" ht="14.55" customHeight="1" x14ac:dyDescent="0.3">
      <c r="A39" s="8">
        <v>37</v>
      </c>
      <c r="B39" s="8"/>
      <c r="C39" s="8"/>
      <c r="D39" s="13">
        <f ca="1">IFERROR(__xludf.DUMMYFUNCTION("""COMPUTED_VALUE"""),45299)</f>
        <v>45299</v>
      </c>
      <c r="E39" s="16" t="str">
        <f ca="1">IFERROR(__xludf.DUMMYFUNCTION("""COMPUTED_VALUE"""),"Player")</f>
        <v>Player</v>
      </c>
      <c r="F39" s="8" t="str">
        <f ca="1">IFERROR(__xludf.DUMMYFUNCTION("""COMPUTED_VALUE"""),"Makinen, Kesia")</f>
        <v>Makinen, Kesia</v>
      </c>
      <c r="G39" s="16" t="str">
        <f ca="1">IFERROR(__xludf.DUMMYFUNCTION("""COMPUTED_VALUE"""),"FIN")</f>
        <v>FIN</v>
      </c>
      <c r="H39" s="8"/>
      <c r="I39" s="8">
        <f ca="1">IFERROR(__xludf.DUMMYFUNCTION("""COMPUTED_VALUE"""),100)</f>
        <v>100</v>
      </c>
      <c r="J39" s="8"/>
      <c r="K39" s="8"/>
      <c r="L39" s="8" t="str">
        <f ca="1">IFERROR(__xludf.DUMMYFUNCTION("""COMPUTED_VALUE"""),"Jyväs-Shakki")</f>
        <v>Jyväs-Shakki</v>
      </c>
      <c r="M39" s="16" t="str">
        <f ca="1">IFERROR(__xludf.DUMMYFUNCTION("""COMPUTED_VALUE"""),"FIN")</f>
        <v>FIN</v>
      </c>
      <c r="N39" s="16" t="str">
        <f ca="1">IFERROR(__xludf.DUMMYFUNCTION("""COMPUTED_VALUE"""),"Breza")</f>
        <v>Breza</v>
      </c>
      <c r="O39" s="8"/>
      <c r="P39" s="8">
        <f ca="1">IFERROR(__xludf.DUMMYFUNCTION("""COMPUTED_VALUE"""),67)</f>
        <v>67</v>
      </c>
      <c r="Q39" s="8">
        <f ca="1">IFERROR(__xludf.DUMMYFUNCTION("""COMPUTED_VALUE"""),6)</f>
        <v>6</v>
      </c>
      <c r="R39" s="8">
        <f ca="1">IFERROR(__xludf.DUMMYFUNCTION("""COMPUTED_VALUE"""),402)</f>
        <v>402</v>
      </c>
      <c r="S39" s="8">
        <f ca="1">IFERROR(__xludf.DUMMYFUNCTION("""COMPUTED_VALUE"""),9.6)</f>
        <v>9.6</v>
      </c>
      <c r="T39" s="8">
        <f ca="1">IFERROR(__xludf.DUMMYFUNCTION("""COMPUTED_VALUE"""),411.6)</f>
        <v>411.6</v>
      </c>
      <c r="U39" s="8" t="str">
        <f ca="1">IFERROR(__xludf.DUMMYFUNCTION("""COMPUTED_VALUE"""),"PITALI ZA PRIVATNO KOD FAMILIJE")</f>
        <v>PITALI ZA PRIVATNO KOD FAMILIJE</v>
      </c>
      <c r="V39" s="8"/>
      <c r="W39" s="8"/>
      <c r="X39" s="8"/>
      <c r="Y39" s="8"/>
      <c r="Z39" s="37" t="str">
        <f ca="1">IFERROR(__xludf.DUMMYFUNCTION("""COMPUTED_VALUE"""),"KL1982")</f>
        <v>KL1982</v>
      </c>
      <c r="AA39" s="37" t="str">
        <f ca="1">IFERROR(__xludf.DUMMYFUNCTION("""COMPUTED_VALUE"""),"27/10/2024")</f>
        <v>27/10/2024</v>
      </c>
      <c r="AB39" s="64">
        <f ca="1">IFERROR(__xludf.DUMMYFUNCTION("""COMPUTED_VALUE"""),0.263888888888888)</f>
        <v>0.26388888888888801</v>
      </c>
    </row>
    <row r="40" spans="1:28" ht="14.55" customHeight="1" x14ac:dyDescent="0.3">
      <c r="A40" s="8">
        <v>38</v>
      </c>
      <c r="B40" s="8"/>
      <c r="C40" s="8"/>
      <c r="D40" s="13">
        <f ca="1">IFERROR(__xludf.DUMMYFUNCTION("""COMPUTED_VALUE"""),45299)</f>
        <v>45299</v>
      </c>
      <c r="E40" s="16" t="str">
        <f ca="1">IFERROR(__xludf.DUMMYFUNCTION("""COMPUTED_VALUE"""),"Player")</f>
        <v>Player</v>
      </c>
      <c r="F40" s="8" t="str">
        <f ca="1">IFERROR(__xludf.DUMMYFUNCTION("""COMPUTED_VALUE"""),"Makinen, Kasimir")</f>
        <v>Makinen, Kasimir</v>
      </c>
      <c r="G40" s="16" t="str">
        <f ca="1">IFERROR(__xludf.DUMMYFUNCTION("""COMPUTED_VALUE"""),"FIN")</f>
        <v>FIN</v>
      </c>
      <c r="H40" s="8"/>
      <c r="I40" s="8">
        <f ca="1">IFERROR(__xludf.DUMMYFUNCTION("""COMPUTED_VALUE"""),100)</f>
        <v>100</v>
      </c>
      <c r="J40" s="8"/>
      <c r="K40" s="8"/>
      <c r="L40" s="8" t="str">
        <f ca="1">IFERROR(__xludf.DUMMYFUNCTION("""COMPUTED_VALUE"""),"Jyväs-Shakki")</f>
        <v>Jyväs-Shakki</v>
      </c>
      <c r="M40" s="16" t="str">
        <f ca="1">IFERROR(__xludf.DUMMYFUNCTION("""COMPUTED_VALUE"""),"FIN")</f>
        <v>FIN</v>
      </c>
      <c r="N40" s="16" t="str">
        <f ca="1">IFERROR(__xludf.DUMMYFUNCTION("""COMPUTED_VALUE"""),"Breza")</f>
        <v>Breza</v>
      </c>
      <c r="O40" s="8"/>
      <c r="P40" s="8">
        <f ca="1">IFERROR(__xludf.DUMMYFUNCTION("""COMPUTED_VALUE"""),67)</f>
        <v>67</v>
      </c>
      <c r="Q40" s="8">
        <f ca="1">IFERROR(__xludf.DUMMYFUNCTION("""COMPUTED_VALUE"""),6)</f>
        <v>6</v>
      </c>
      <c r="R40" s="8">
        <f ca="1">IFERROR(__xludf.DUMMYFUNCTION("""COMPUTED_VALUE"""),402)</f>
        <v>402</v>
      </c>
      <c r="S40" s="8">
        <f ca="1">IFERROR(__xludf.DUMMYFUNCTION("""COMPUTED_VALUE"""),9.6)</f>
        <v>9.6</v>
      </c>
      <c r="T40" s="8">
        <f ca="1">IFERROR(__xludf.DUMMYFUNCTION("""COMPUTED_VALUE"""),411.6)</f>
        <v>411.6</v>
      </c>
      <c r="U40" s="8" t="str">
        <f ca="1">IFERROR(__xludf.DUMMYFUNCTION("""COMPUTED_VALUE"""),"PITALI ZA PRIVATNO KOD FAMILIJE")</f>
        <v>PITALI ZA PRIVATNO KOD FAMILIJE</v>
      </c>
      <c r="V40" s="8"/>
      <c r="W40" s="8"/>
      <c r="X40" s="8"/>
      <c r="Y40" s="8"/>
      <c r="Z40" s="37" t="str">
        <f ca="1">IFERROR(__xludf.DUMMYFUNCTION("""COMPUTED_VALUE"""),"KL1982")</f>
        <v>KL1982</v>
      </c>
      <c r="AA40" s="37" t="str">
        <f ca="1">IFERROR(__xludf.DUMMYFUNCTION("""COMPUTED_VALUE"""),"27/10/2024")</f>
        <v>27/10/2024</v>
      </c>
      <c r="AB40" s="64">
        <f ca="1">IFERROR(__xludf.DUMMYFUNCTION("""COMPUTED_VALUE"""),0.263888888888888)</f>
        <v>0.26388888888888801</v>
      </c>
    </row>
    <row r="41" spans="1:28" ht="14.55" customHeight="1" x14ac:dyDescent="0.3">
      <c r="A41" s="8">
        <v>39</v>
      </c>
      <c r="B41" s="8"/>
      <c r="C41" s="8"/>
      <c r="D41" s="8" t="str">
        <f ca="1">IFERROR(__xludf.DUMMYFUNCTION("""COMPUTED_VALUE"""),"14/08/2024")</f>
        <v>14/08/2024</v>
      </c>
      <c r="E41" s="16" t="str">
        <f ca="1">IFERROR(__xludf.DUMMYFUNCTION("""COMPUTED_VALUE"""),"Player")</f>
        <v>Player</v>
      </c>
      <c r="F41" s="8" t="str">
        <f ca="1">IFERROR(__xludf.DUMMYFUNCTION("""COMPUTED_VALUE"""),"Ashton, Alannah")</f>
        <v>Ashton, Alannah</v>
      </c>
      <c r="G41" s="8" t="str">
        <f ca="1">IFERROR(__xludf.DUMMYFUNCTION("""COMPUTED_VALUE"""),"ENG")</f>
        <v>ENG</v>
      </c>
      <c r="H41" s="8"/>
      <c r="I41" s="8">
        <f ca="1">IFERROR(__xludf.DUMMYFUNCTION("""COMPUTED_VALUE"""),100)</f>
        <v>100</v>
      </c>
      <c r="J41" s="8"/>
      <c r="K41" s="8"/>
      <c r="L41" s="8" t="s">
        <v>3</v>
      </c>
      <c r="M41" s="8" t="str">
        <f ca="1">IFERROR(__xludf.DUMMYFUNCTION("""COMPUTED_VALUE"""),"ENG")</f>
        <v>ENG</v>
      </c>
      <c r="N41" s="16" t="str">
        <f ca="1">IFERROR(__xludf.DUMMYFUNCTION("""COMPUTED_VALUE"""),"Fontana")</f>
        <v>Fontana</v>
      </c>
      <c r="O41" s="43" t="str">
        <f ca="1">IFERROR(__xludf.DUMMYFUNCTION("""COMPUTED_VALUE"""),"Double")</f>
        <v>Double</v>
      </c>
      <c r="P41" s="8" t="str">
        <f ca="1">IFERROR(__xludf.DUMMYFUNCTION("""COMPUTED_VALUE"""),"Yaoyao Zhu")</f>
        <v>Yaoyao Zhu</v>
      </c>
      <c r="Q41" s="8">
        <f ca="1">IFERROR(__xludf.DUMMYFUNCTION("""COMPUTED_VALUE"""),9)</f>
        <v>9</v>
      </c>
      <c r="R41" s="8">
        <f ca="1">IFERROR(__xludf.DUMMYFUNCTION("""COMPUTED_VALUE"""),756)</f>
        <v>756</v>
      </c>
      <c r="S41" s="8">
        <f ca="1">IFERROR(__xludf.DUMMYFUNCTION("""COMPUTED_VALUE"""),14.4)</f>
        <v>14.4</v>
      </c>
      <c r="T41" s="8">
        <f ca="1">IFERROR(__xludf.DUMMYFUNCTION("""COMPUTED_VALUE"""),770.4)</f>
        <v>770.4</v>
      </c>
      <c r="U41" s="8"/>
      <c r="V41" s="8"/>
      <c r="W41" s="8"/>
      <c r="X41" s="8" t="str">
        <f ca="1">IFERROR(__xludf.DUMMYFUNCTION("""COMPUTED_VALUE"""),"Odvojeni kreveti / twin")</f>
        <v>Odvojeni kreveti / twin</v>
      </c>
      <c r="Y41" s="8"/>
      <c r="Z41" s="37" t="str">
        <f ca="1">IFERROR(__xludf.DUMMYFUNCTION("""COMPUTED_VALUE"""),"LH1411")</f>
        <v>LH1411</v>
      </c>
      <c r="AA41" s="37" t="str">
        <f ca="1">IFERROR(__xludf.DUMMYFUNCTION("""COMPUTED_VALUE"""),"27/10/2024")</f>
        <v>27/10/2024</v>
      </c>
      <c r="AB41" s="64">
        <f ca="1">IFERROR(__xludf.DUMMYFUNCTION("""COMPUTED_VALUE"""),0.263888888888888)</f>
        <v>0.26388888888888801</v>
      </c>
    </row>
    <row r="42" spans="1:28" ht="14.55" customHeight="1" x14ac:dyDescent="0.3">
      <c r="A42" s="8">
        <v>40</v>
      </c>
      <c r="B42" s="8"/>
      <c r="C42" s="8"/>
      <c r="D42" s="8" t="str">
        <f ca="1">IFERROR(__xludf.DUMMYFUNCTION("""COMPUTED_VALUE"""),"14/08/2024")</f>
        <v>14/08/2024</v>
      </c>
      <c r="E42" s="16" t="str">
        <f ca="1">IFERROR(__xludf.DUMMYFUNCTION("""COMPUTED_VALUE"""),"Player")</f>
        <v>Player</v>
      </c>
      <c r="F42" s="8" t="str">
        <f ca="1">IFERROR(__xludf.DUMMYFUNCTION("""COMPUTED_VALUE"""),"Zhu, Yaoyao")</f>
        <v>Zhu, Yaoyao</v>
      </c>
      <c r="G42" s="8" t="str">
        <f ca="1">IFERROR(__xludf.DUMMYFUNCTION("""COMPUTED_VALUE"""),"ENG")</f>
        <v>ENG</v>
      </c>
      <c r="H42" s="8"/>
      <c r="I42" s="8">
        <f ca="1">IFERROR(__xludf.DUMMYFUNCTION("""COMPUTED_VALUE"""),100)</f>
        <v>100</v>
      </c>
      <c r="J42" s="8"/>
      <c r="K42" s="8"/>
      <c r="L42" s="8" t="s">
        <v>3</v>
      </c>
      <c r="M42" s="8" t="str">
        <f ca="1">IFERROR(__xludf.DUMMYFUNCTION("""COMPUTED_VALUE"""),"ENG")</f>
        <v>ENG</v>
      </c>
      <c r="N42" s="16" t="str">
        <f ca="1">IFERROR(__xludf.DUMMYFUNCTION("""COMPUTED_VALUE"""),"Fontana")</f>
        <v>Fontana</v>
      </c>
      <c r="O42" s="43" t="str">
        <f ca="1">IFERROR(__xludf.DUMMYFUNCTION("""COMPUTED_VALUE"""),"Double")</f>
        <v>Double</v>
      </c>
      <c r="P42" s="8" t="str">
        <f ca="1">IFERROR(__xludf.DUMMYFUNCTION("""COMPUTED_VALUE"""),"Alannah Ashton")</f>
        <v>Alannah Ashton</v>
      </c>
      <c r="Q42" s="8">
        <f ca="1">IFERROR(__xludf.DUMMYFUNCTION("""COMPUTED_VALUE"""),9)</f>
        <v>9</v>
      </c>
      <c r="R42" s="8">
        <f ca="1">IFERROR(__xludf.DUMMYFUNCTION("""COMPUTED_VALUE"""),756)</f>
        <v>756</v>
      </c>
      <c r="S42" s="8">
        <f ca="1">IFERROR(__xludf.DUMMYFUNCTION("""COMPUTED_VALUE"""),14.4)</f>
        <v>14.4</v>
      </c>
      <c r="T42" s="8">
        <f ca="1">IFERROR(__xludf.DUMMYFUNCTION("""COMPUTED_VALUE"""),770.4)</f>
        <v>770.4</v>
      </c>
      <c r="U42" s="8"/>
      <c r="V42" s="8"/>
      <c r="W42" s="8"/>
      <c r="X42" s="8" t="str">
        <f ca="1">IFERROR(__xludf.DUMMYFUNCTION("""COMPUTED_VALUE"""),"Odvojeni kreveti / twin")</f>
        <v>Odvojeni kreveti / twin</v>
      </c>
      <c r="Y42" s="8"/>
      <c r="Z42" s="56" t="str">
        <f ca="1">IFERROR(__xludf.DUMMYFUNCTION("""COMPUTED_VALUE"""),"LH1411")</f>
        <v>LH1411</v>
      </c>
      <c r="AA42" s="37" t="str">
        <f ca="1">IFERROR(__xludf.DUMMYFUNCTION("""COMPUTED_VALUE"""),"27/10/2024")</f>
        <v>27/10/2024</v>
      </c>
      <c r="AB42" s="64">
        <f ca="1">IFERROR(__xludf.DUMMYFUNCTION("""COMPUTED_VALUE"""),0.263888888888888)</f>
        <v>0.26388888888888801</v>
      </c>
    </row>
    <row r="43" spans="1:28" ht="14.55" customHeight="1" x14ac:dyDescent="0.3">
      <c r="A43" s="8">
        <v>41</v>
      </c>
      <c r="B43" s="8"/>
      <c r="C43" s="8"/>
      <c r="D43" s="8" t="str">
        <f ca="1">IFERROR(__xludf.DUMMYFUNCTION("""COMPUTED_VALUE"""),"14/08/2024")</f>
        <v>14/08/2024</v>
      </c>
      <c r="E43" s="16" t="str">
        <f ca="1">IFERROR(__xludf.DUMMYFUNCTION("""COMPUTED_VALUE"""),"Player")</f>
        <v>Player</v>
      </c>
      <c r="F43" s="8" t="str">
        <f ca="1">IFERROR(__xludf.DUMMYFUNCTION("""COMPUTED_VALUE"""),"Wallin, Aleksi")</f>
        <v>Wallin, Aleksi</v>
      </c>
      <c r="G43" s="16" t="str">
        <f ca="1">IFERROR(__xludf.DUMMYFUNCTION("""COMPUTED_VALUE"""),"FIN")</f>
        <v>FIN</v>
      </c>
      <c r="H43" s="8"/>
      <c r="I43" s="8">
        <f ca="1">IFERROR(__xludf.DUMMYFUNCTION("""COMPUTED_VALUE"""),100)</f>
        <v>100</v>
      </c>
      <c r="J43" s="8"/>
      <c r="K43" s="8"/>
      <c r="L43" s="8" t="str">
        <f ca="1">IFERROR(__xludf.DUMMYFUNCTION("""COMPUTED_VALUE"""),"Raahen Linnoitus")</f>
        <v>Raahen Linnoitus</v>
      </c>
      <c r="M43" s="16" t="str">
        <f ca="1">IFERROR(__xludf.DUMMYFUNCTION("""COMPUTED_VALUE"""),"FIN")</f>
        <v>FIN</v>
      </c>
      <c r="N43" s="16" t="str">
        <f ca="1">IFERROR(__xludf.DUMMYFUNCTION("""COMPUTED_VALUE"""),"Fontana")</f>
        <v>Fontana</v>
      </c>
      <c r="O43" s="8" t="str">
        <f ca="1">IFERROR(__xludf.DUMMYFUNCTION("""COMPUTED_VALUE"""),"Osmo Kauppila")</f>
        <v>Osmo Kauppila</v>
      </c>
      <c r="P43" s="8">
        <f ca="1">IFERROR(__xludf.DUMMYFUNCTION("""COMPUTED_VALUE"""),84)</f>
        <v>84</v>
      </c>
      <c r="Q43" s="8">
        <f ca="1">IFERROR(__xludf.DUMMYFUNCTION("""COMPUTED_VALUE"""),8)</f>
        <v>8</v>
      </c>
      <c r="R43" s="8">
        <f ca="1">IFERROR(__xludf.DUMMYFUNCTION("""COMPUTED_VALUE"""),672)</f>
        <v>672</v>
      </c>
      <c r="S43" s="8">
        <f ca="1">IFERROR(__xludf.DUMMYFUNCTION("""COMPUTED_VALUE"""),12.8)</f>
        <v>12.8</v>
      </c>
      <c r="T43" s="8">
        <f ca="1">IFERROR(__xludf.DUMMYFUNCTION("""COMPUTED_VALUE"""),684.8)</f>
        <v>684.8</v>
      </c>
      <c r="U43" s="8"/>
      <c r="V43" s="8"/>
      <c r="W43" s="8"/>
      <c r="X43" s="8"/>
      <c r="Y43" s="8"/>
      <c r="Z43" s="37" t="str">
        <f ca="1">IFERROR(__xludf.DUMMYFUNCTION("""COMPUTED_VALUE"""),"LH1411")</f>
        <v>LH1411</v>
      </c>
      <c r="AA43" s="37" t="str">
        <f ca="1">IFERROR(__xludf.DUMMYFUNCTION("""COMPUTED_VALUE"""),"27/10/2024")</f>
        <v>27/10/2024</v>
      </c>
      <c r="AB43" s="64">
        <f ca="1">IFERROR(__xludf.DUMMYFUNCTION("""COMPUTED_VALUE"""),0.263888888888888)</f>
        <v>0.26388888888888801</v>
      </c>
    </row>
    <row r="44" spans="1:28" ht="14.55" customHeight="1" x14ac:dyDescent="0.3">
      <c r="A44" s="8">
        <v>42</v>
      </c>
      <c r="B44" s="8"/>
      <c r="C44" s="8"/>
      <c r="D44" s="8" t="str">
        <f ca="1">IFERROR(__xludf.DUMMYFUNCTION("""COMPUTED_VALUE"""),"15/08/2024")</f>
        <v>15/08/2024</v>
      </c>
      <c r="E44" s="16" t="str">
        <f ca="1">IFERROR(__xludf.DUMMYFUNCTION("""COMPUTED_VALUE"""),"Player")</f>
        <v>Player</v>
      </c>
      <c r="F44" s="8" t="str">
        <f ca="1">IFERROR(__xludf.DUMMYFUNCTION("""COMPUTED_VALUE"""),"Beukema, Jasper")</f>
        <v>Beukema, Jasper</v>
      </c>
      <c r="G44" s="16" t="str">
        <f ca="1">IFERROR(__xludf.DUMMYFUNCTION("""COMPUTED_VALUE"""),"BEL")</f>
        <v>BEL</v>
      </c>
      <c r="H44" s="8"/>
      <c r="I44" s="8">
        <f ca="1">IFERROR(__xludf.DUMMYFUNCTION("""COMPUTED_VALUE"""),100)</f>
        <v>100</v>
      </c>
      <c r="J44" s="8"/>
      <c r="K44" s="8"/>
      <c r="L44" s="8" t="str">
        <f ca="1">IFERROR(__xludf.DUMMYFUNCTION("""COMPUTED_VALUE"""),"De Stukkenjagers")</f>
        <v>De Stukkenjagers</v>
      </c>
      <c r="M44" s="16" t="str">
        <f ca="1">IFERROR(__xludf.DUMMYFUNCTION("""COMPUTED_VALUE"""),"NED")</f>
        <v>NED</v>
      </c>
      <c r="N44" s="16" t="str">
        <f ca="1">IFERROR(__xludf.DUMMYFUNCTION("""COMPUTED_VALUE"""),"Fontana")</f>
        <v>Fontana</v>
      </c>
      <c r="O44" s="8"/>
      <c r="P44" s="8">
        <f ca="1">IFERROR(__xludf.DUMMYFUNCTION("""COMPUTED_VALUE"""),104)</f>
        <v>104</v>
      </c>
      <c r="Q44" s="8">
        <f ca="1">IFERROR(__xludf.DUMMYFUNCTION("""COMPUTED_VALUE"""),8)</f>
        <v>8</v>
      </c>
      <c r="R44" s="8">
        <f ca="1">IFERROR(__xludf.DUMMYFUNCTION("""COMPUTED_VALUE"""),832)</f>
        <v>832</v>
      </c>
      <c r="S44" s="8">
        <f ca="1">IFERROR(__xludf.DUMMYFUNCTION("""COMPUTED_VALUE"""),12.8)</f>
        <v>12.8</v>
      </c>
      <c r="T44" s="8">
        <f ca="1">IFERROR(__xludf.DUMMYFUNCTION("""COMPUTED_VALUE"""),844.8)</f>
        <v>844.8</v>
      </c>
      <c r="U44" s="8"/>
      <c r="V44" s="8"/>
      <c r="W44" s="8"/>
      <c r="X44" s="8"/>
      <c r="Y44" s="8"/>
      <c r="Z44" s="56" t="str">
        <f ca="1">IFERROR(__xludf.DUMMYFUNCTION("""COMPUTED_VALUE"""),"W6 4072")</f>
        <v>W6 4072</v>
      </c>
      <c r="AA44" s="37" t="str">
        <f ca="1">IFERROR(__xludf.DUMMYFUNCTION("""COMPUTED_VALUE"""),"27/10/2024")</f>
        <v>27/10/2024</v>
      </c>
      <c r="AB44" s="64">
        <f ca="1">IFERROR(__xludf.DUMMYFUNCTION("""COMPUTED_VALUE"""),0.270833333333333)</f>
        <v>0.27083333333333298</v>
      </c>
    </row>
    <row r="45" spans="1:28" ht="14.55" customHeight="1" x14ac:dyDescent="0.3">
      <c r="A45" s="8">
        <v>43</v>
      </c>
      <c r="B45" s="8"/>
      <c r="C45" s="8"/>
      <c r="D45" s="8" t="str">
        <f ca="1">IFERROR(__xludf.DUMMYFUNCTION("""COMPUTED_VALUE"""),"15/08/2024")</f>
        <v>15/08/2024</v>
      </c>
      <c r="E45" s="16" t="str">
        <f ca="1">IFERROR(__xludf.DUMMYFUNCTION("""COMPUTED_VALUE"""),"Player")</f>
        <v>Player</v>
      </c>
      <c r="F45" s="8" t="str">
        <f ca="1">IFERROR(__xludf.DUMMYFUNCTION("""COMPUTED_VALUE"""),"Jansen, Bob")</f>
        <v>Jansen, Bob</v>
      </c>
      <c r="G45" s="16" t="str">
        <f ca="1">IFERROR(__xludf.DUMMYFUNCTION("""COMPUTED_VALUE"""),"NED")</f>
        <v>NED</v>
      </c>
      <c r="H45" s="8"/>
      <c r="I45" s="8">
        <f ca="1">IFERROR(__xludf.DUMMYFUNCTION("""COMPUTED_VALUE"""),100)</f>
        <v>100</v>
      </c>
      <c r="J45" s="8"/>
      <c r="K45" s="8"/>
      <c r="L45" s="8" t="str">
        <f ca="1">IFERROR(__xludf.DUMMYFUNCTION("""COMPUTED_VALUE"""),"De Stukkenjagers")</f>
        <v>De Stukkenjagers</v>
      </c>
      <c r="M45" s="16" t="str">
        <f ca="1">IFERROR(__xludf.DUMMYFUNCTION("""COMPUTED_VALUE"""),"NED")</f>
        <v>NED</v>
      </c>
      <c r="N45" s="16" t="str">
        <f ca="1">IFERROR(__xludf.DUMMYFUNCTION("""COMPUTED_VALUE"""),"Fontana")</f>
        <v>Fontana</v>
      </c>
      <c r="O45" s="8"/>
      <c r="P45" s="8">
        <f ca="1">IFERROR(__xludf.DUMMYFUNCTION("""COMPUTED_VALUE"""),104)</f>
        <v>104</v>
      </c>
      <c r="Q45" s="8">
        <f ca="1">IFERROR(__xludf.DUMMYFUNCTION("""COMPUTED_VALUE"""),8)</f>
        <v>8</v>
      </c>
      <c r="R45" s="8">
        <f ca="1">IFERROR(__xludf.DUMMYFUNCTION("""COMPUTED_VALUE"""),832)</f>
        <v>832</v>
      </c>
      <c r="S45" s="8">
        <f ca="1">IFERROR(__xludf.DUMMYFUNCTION("""COMPUTED_VALUE"""),12.8)</f>
        <v>12.8</v>
      </c>
      <c r="T45" s="8">
        <f ca="1">IFERROR(__xludf.DUMMYFUNCTION("""COMPUTED_VALUE"""),844.8)</f>
        <v>844.8</v>
      </c>
      <c r="U45" s="8"/>
      <c r="V45" s="8"/>
      <c r="W45" s="8"/>
      <c r="X45" s="8"/>
      <c r="Y45" s="8"/>
      <c r="Z45" s="56" t="str">
        <f ca="1">IFERROR(__xludf.DUMMYFUNCTION("""COMPUTED_VALUE"""),"W6 4072")</f>
        <v>W6 4072</v>
      </c>
      <c r="AA45" s="37" t="str">
        <f ca="1">IFERROR(__xludf.DUMMYFUNCTION("""COMPUTED_VALUE"""),"27/10/2024")</f>
        <v>27/10/2024</v>
      </c>
      <c r="AB45" s="64">
        <f ca="1">IFERROR(__xludf.DUMMYFUNCTION("""COMPUTED_VALUE"""),0.270833333333333)</f>
        <v>0.27083333333333298</v>
      </c>
    </row>
    <row r="46" spans="1:28" ht="14.55" customHeight="1" x14ac:dyDescent="0.3">
      <c r="A46" s="8">
        <v>44</v>
      </c>
      <c r="B46" s="8"/>
      <c r="C46" s="8"/>
      <c r="D46" s="8" t="str">
        <f ca="1">IFERROR(__xludf.DUMMYFUNCTION("""COMPUTED_VALUE"""),"15/08/2024")</f>
        <v>15/08/2024</v>
      </c>
      <c r="E46" s="16" t="str">
        <f ca="1">IFERROR(__xludf.DUMMYFUNCTION("""COMPUTED_VALUE"""),"Player")</f>
        <v>Player</v>
      </c>
      <c r="F46" s="8" t="str">
        <f ca="1">IFERROR(__xludf.DUMMYFUNCTION("""COMPUTED_VALUE"""),"Froeyman, Helmut")</f>
        <v>Froeyman, Helmut</v>
      </c>
      <c r="G46" s="16" t="str">
        <f ca="1">IFERROR(__xludf.DUMMYFUNCTION("""COMPUTED_VALUE"""),"BEL")</f>
        <v>BEL</v>
      </c>
      <c r="H46" s="8"/>
      <c r="I46" s="8">
        <f ca="1">IFERROR(__xludf.DUMMYFUNCTION("""COMPUTED_VALUE"""),100)</f>
        <v>100</v>
      </c>
      <c r="J46" s="8"/>
      <c r="K46" s="8"/>
      <c r="L46" s="8" t="str">
        <f ca="1">IFERROR(__xludf.DUMMYFUNCTION("""COMPUTED_VALUE"""),"De Stukkenjagers")</f>
        <v>De Stukkenjagers</v>
      </c>
      <c r="M46" s="16" t="str">
        <f ca="1">IFERROR(__xludf.DUMMYFUNCTION("""COMPUTED_VALUE"""),"NED")</f>
        <v>NED</v>
      </c>
      <c r="N46" s="16" t="str">
        <f ca="1">IFERROR(__xludf.DUMMYFUNCTION("""COMPUTED_VALUE"""),"Fontana")</f>
        <v>Fontana</v>
      </c>
      <c r="O46" s="8"/>
      <c r="P46" s="8">
        <f ca="1">IFERROR(__xludf.DUMMYFUNCTION("""COMPUTED_VALUE"""),104)</f>
        <v>104</v>
      </c>
      <c r="Q46" s="8">
        <f ca="1">IFERROR(__xludf.DUMMYFUNCTION("""COMPUTED_VALUE"""),8)</f>
        <v>8</v>
      </c>
      <c r="R46" s="8">
        <f ca="1">IFERROR(__xludf.DUMMYFUNCTION("""COMPUTED_VALUE"""),832)</f>
        <v>832</v>
      </c>
      <c r="S46" s="8">
        <f ca="1">IFERROR(__xludf.DUMMYFUNCTION("""COMPUTED_VALUE"""),12.8)</f>
        <v>12.8</v>
      </c>
      <c r="T46" s="8">
        <f ca="1">IFERROR(__xludf.DUMMYFUNCTION("""COMPUTED_VALUE"""),844.8)</f>
        <v>844.8</v>
      </c>
      <c r="U46" s="8"/>
      <c r="V46" s="8"/>
      <c r="W46" s="8"/>
      <c r="X46" s="8"/>
      <c r="Y46" s="8"/>
      <c r="Z46" s="37" t="str">
        <f ca="1">IFERROR(__xludf.DUMMYFUNCTION("""COMPUTED_VALUE"""),"W6 4072")</f>
        <v>W6 4072</v>
      </c>
      <c r="AA46" s="37" t="str">
        <f ca="1">IFERROR(__xludf.DUMMYFUNCTION("""COMPUTED_VALUE"""),"27/10/2024")</f>
        <v>27/10/2024</v>
      </c>
      <c r="AB46" s="64">
        <f ca="1">IFERROR(__xludf.DUMMYFUNCTION("""COMPUTED_VALUE"""),0.270833333333333)</f>
        <v>0.27083333333333298</v>
      </c>
    </row>
    <row r="47" spans="1:28" ht="14.55" customHeight="1" x14ac:dyDescent="0.3">
      <c r="A47" s="8">
        <v>45</v>
      </c>
      <c r="B47" s="8"/>
      <c r="C47" s="8"/>
      <c r="D47" s="8" t="str">
        <f ca="1">IFERROR(__xludf.DUMMYFUNCTION("""COMPUTED_VALUE"""),"19/07/2024")</f>
        <v>19/07/2024</v>
      </c>
      <c r="E47" s="16" t="str">
        <f ca="1">IFERROR(__xludf.DUMMYFUNCTION("""COMPUTED_VALUE"""),"Player")</f>
        <v>Player</v>
      </c>
      <c r="F47" s="8" t="str">
        <f ca="1">IFERROR(__xludf.DUMMYFUNCTION("""COMPUTED_VALUE"""),"Kurt, Sascha")</f>
        <v>Kurt, Sascha</v>
      </c>
      <c r="G47" s="16" t="str">
        <f ca="1">IFERROR(__xludf.DUMMYFUNCTION("""COMPUTED_VALUE"""),"NED")</f>
        <v>NED</v>
      </c>
      <c r="H47" s="8"/>
      <c r="I47" s="8">
        <f ca="1">IFERROR(__xludf.DUMMYFUNCTION("""COMPUTED_VALUE"""),100)</f>
        <v>100</v>
      </c>
      <c r="J47" s="8"/>
      <c r="K47" s="8"/>
      <c r="L47" s="8" t="str">
        <f ca="1">IFERROR(__xludf.DUMMYFUNCTION("""COMPUTED_VALUE"""),"La Tour d'Ans-Loncin")</f>
        <v>La Tour d'Ans-Loncin</v>
      </c>
      <c r="M47" s="16" t="str">
        <f ca="1">IFERROR(__xludf.DUMMYFUNCTION("""COMPUTED_VALUE"""),"BEL")</f>
        <v>BEL</v>
      </c>
      <c r="N47" s="16" t="str">
        <f ca="1">IFERROR(__xludf.DUMMYFUNCTION("""COMPUTED_VALUE"""),"Fontana")</f>
        <v>Fontana</v>
      </c>
      <c r="O47" s="8" t="str">
        <f ca="1">IFERROR(__xludf.DUMMYFUNCTION("""COMPUTED_VALUE"""),"KURT Ralph")</f>
        <v>KURT Ralph</v>
      </c>
      <c r="P47" s="8">
        <f ca="1">IFERROR(__xludf.DUMMYFUNCTION("""COMPUTED_VALUE"""),84)</f>
        <v>84</v>
      </c>
      <c r="Q47" s="8">
        <f ca="1">IFERROR(__xludf.DUMMYFUNCTION("""COMPUTED_VALUE"""),8)</f>
        <v>8</v>
      </c>
      <c r="R47" s="8">
        <f ca="1">IFERROR(__xludf.DUMMYFUNCTION("""COMPUTED_VALUE"""),672)</f>
        <v>672</v>
      </c>
      <c r="S47" s="8">
        <f ca="1">IFERROR(__xludf.DUMMYFUNCTION("""COMPUTED_VALUE"""),12.8)</f>
        <v>12.8</v>
      </c>
      <c r="T47" s="8">
        <f ca="1">IFERROR(__xludf.DUMMYFUNCTION("""COMPUTED_VALUE"""),684.8)</f>
        <v>684.8</v>
      </c>
      <c r="U47" s="8"/>
      <c r="V47" s="8"/>
      <c r="W47" s="8"/>
      <c r="X47" s="8" t="str">
        <f ca="1">IFERROR(__xludf.DUMMYFUNCTION("""COMPUTED_VALUE"""),"a twin beds is desired")</f>
        <v>a twin beds is desired</v>
      </c>
      <c r="Y47" s="8"/>
      <c r="Z47" s="37" t="str">
        <f ca="1">IFERROR(__xludf.DUMMYFUNCTION("""COMPUTED_VALUE"""),"W6 4071")</f>
        <v>W6 4071</v>
      </c>
      <c r="AA47" s="37" t="str">
        <f ca="1">IFERROR(__xludf.DUMMYFUNCTION("""COMPUTED_VALUE"""),"27/10/2024")</f>
        <v>27/10/2024</v>
      </c>
      <c r="AB47" s="64">
        <f ca="1">IFERROR(__xludf.DUMMYFUNCTION("""COMPUTED_VALUE"""),0.270833333333333)</f>
        <v>0.27083333333333298</v>
      </c>
    </row>
    <row r="48" spans="1:28" ht="14.55" customHeight="1" x14ac:dyDescent="0.3">
      <c r="A48" s="8">
        <v>46</v>
      </c>
      <c r="B48" s="8"/>
      <c r="C48" s="8"/>
      <c r="D48" s="8" t="str">
        <f ca="1">IFERROR(__xludf.DUMMYFUNCTION("""COMPUTED_VALUE"""),"19/07/2024")</f>
        <v>19/07/2024</v>
      </c>
      <c r="E48" s="16" t="s">
        <v>0</v>
      </c>
      <c r="F48" s="8" t="str">
        <f ca="1">IFERROR(__xludf.DUMMYFUNCTION("""COMPUTED_VALUE"""),"Kurt, Ralph")</f>
        <v>Kurt, Ralph</v>
      </c>
      <c r="G48" s="16" t="str">
        <f ca="1">IFERROR(__xludf.DUMMYFUNCTION("""COMPUTED_VALUE"""),"NED")</f>
        <v>NED</v>
      </c>
      <c r="H48" s="8"/>
      <c r="I48" s="8">
        <f ca="1">IFERROR(__xludf.DUMMYFUNCTION("""COMPUTED_VALUE"""),100)</f>
        <v>100</v>
      </c>
      <c r="J48" s="8"/>
      <c r="K48" s="8"/>
      <c r="L48" s="8" t="str">
        <f ca="1">IFERROR(__xludf.DUMMYFUNCTION("""COMPUTED_VALUE"""),"La Tour d'Ans-Loncin")</f>
        <v>La Tour d'Ans-Loncin</v>
      </c>
      <c r="M48" s="16" t="str">
        <f ca="1">IFERROR(__xludf.DUMMYFUNCTION("""COMPUTED_VALUE"""),"BEL")</f>
        <v>BEL</v>
      </c>
      <c r="N48" s="16" t="str">
        <f ca="1">IFERROR(__xludf.DUMMYFUNCTION("""COMPUTED_VALUE"""),"Fontana")</f>
        <v>Fontana</v>
      </c>
      <c r="O48" s="8" t="str">
        <f ca="1">IFERROR(__xludf.DUMMYFUNCTION("""COMPUTED_VALUE"""),"KURT Sascha")</f>
        <v>KURT Sascha</v>
      </c>
      <c r="P48" s="8">
        <f ca="1">IFERROR(__xludf.DUMMYFUNCTION("""COMPUTED_VALUE"""),84)</f>
        <v>84</v>
      </c>
      <c r="Q48" s="8">
        <f ca="1">IFERROR(__xludf.DUMMYFUNCTION("""COMPUTED_VALUE"""),8)</f>
        <v>8</v>
      </c>
      <c r="R48" s="8">
        <f ca="1">IFERROR(__xludf.DUMMYFUNCTION("""COMPUTED_VALUE"""),672)</f>
        <v>672</v>
      </c>
      <c r="S48" s="8">
        <f ca="1">IFERROR(__xludf.DUMMYFUNCTION("""COMPUTED_VALUE"""),12.8)</f>
        <v>12.8</v>
      </c>
      <c r="T48" s="8">
        <f ca="1">IFERROR(__xludf.DUMMYFUNCTION("""COMPUTED_VALUE"""),684.8)</f>
        <v>684.8</v>
      </c>
      <c r="U48" s="8"/>
      <c r="V48" s="8"/>
      <c r="W48" s="8"/>
      <c r="X48" s="8" t="str">
        <f ca="1">IFERROR(__xludf.DUMMYFUNCTION("""COMPUTED_VALUE"""),"a twin beds is desired")</f>
        <v>a twin beds is desired</v>
      </c>
      <c r="Y48" s="8"/>
      <c r="Z48" s="37" t="str">
        <f ca="1">IFERROR(__xludf.DUMMYFUNCTION("""COMPUTED_VALUE"""),"W6 4071")</f>
        <v>W6 4071</v>
      </c>
      <c r="AA48" s="37" t="str">
        <f ca="1">IFERROR(__xludf.DUMMYFUNCTION("""COMPUTED_VALUE"""),"27/10/2024")</f>
        <v>27/10/2024</v>
      </c>
      <c r="AB48" s="64">
        <f ca="1">IFERROR(__xludf.DUMMYFUNCTION("""COMPUTED_VALUE"""),0.270833333333333)</f>
        <v>0.27083333333333298</v>
      </c>
    </row>
    <row r="49" spans="1:28" ht="14.55" customHeight="1" x14ac:dyDescent="0.3">
      <c r="A49" s="8">
        <v>47</v>
      </c>
      <c r="B49" s="8"/>
      <c r="C49" s="8"/>
      <c r="D49" s="13">
        <f ca="1">IFERROR(__xludf.DUMMYFUNCTION("""COMPUTED_VALUE"""),45573)</f>
        <v>45573</v>
      </c>
      <c r="E49" s="16" t="str">
        <f ca="1">IFERROR(__xludf.DUMMYFUNCTION("""COMPUTED_VALUE"""),"Player")</f>
        <v>Player</v>
      </c>
      <c r="F49" s="8" t="str">
        <f ca="1">IFERROR(__xludf.DUMMYFUNCTION("""COMPUTED_VALUE"""),"Grochal, Joey")</f>
        <v>Grochal, Joey</v>
      </c>
      <c r="G49" s="16" t="str">
        <f ca="1">IFERROR(__xludf.DUMMYFUNCTION("""COMPUTED_VALUE"""),"NED")</f>
        <v>NED</v>
      </c>
      <c r="H49" s="8"/>
      <c r="I49" s="8">
        <f ca="1">IFERROR(__xludf.DUMMYFUNCTION("""COMPUTED_VALUE"""),100)</f>
        <v>100</v>
      </c>
      <c r="J49" s="8"/>
      <c r="K49" s="8"/>
      <c r="L49" s="8" t="str">
        <f ca="1">IFERROR(__xludf.DUMMYFUNCTION("""COMPUTED_VALUE"""),"Pluspion Wachtebeke")</f>
        <v>Pluspion Wachtebeke</v>
      </c>
      <c r="M49" s="16" t="str">
        <f ca="1">IFERROR(__xludf.DUMMYFUNCTION("""COMPUTED_VALUE"""),"BEL")</f>
        <v>BEL</v>
      </c>
      <c r="N49" s="16" t="str">
        <f ca="1">IFERROR(__xludf.DUMMYFUNCTION("""COMPUTED_VALUE"""),"Breza")</f>
        <v>Breza</v>
      </c>
      <c r="O49" s="8"/>
      <c r="P49" s="8">
        <f ca="1">IFERROR(__xludf.DUMMYFUNCTION("""COMPUTED_VALUE"""),82)</f>
        <v>82</v>
      </c>
      <c r="Q49" s="8">
        <f ca="1">IFERROR(__xludf.DUMMYFUNCTION("""COMPUTED_VALUE"""),7)</f>
        <v>7</v>
      </c>
      <c r="R49" s="8">
        <f ca="1">IFERROR(__xludf.DUMMYFUNCTION("""COMPUTED_VALUE"""),574)</f>
        <v>574</v>
      </c>
      <c r="S49" s="8">
        <f ca="1">IFERROR(__xludf.DUMMYFUNCTION("""COMPUTED_VALUE"""),11.2)</f>
        <v>11.2</v>
      </c>
      <c r="T49" s="8">
        <f ca="1">IFERROR(__xludf.DUMMYFUNCTION("""COMPUTED_VALUE"""),585.2)</f>
        <v>585.20000000000005</v>
      </c>
      <c r="U49" s="8"/>
      <c r="V49" s="8"/>
      <c r="W49" s="8"/>
      <c r="X49" s="8"/>
      <c r="Y49" s="8"/>
      <c r="Z49" s="37" t="str">
        <f ca="1">IFERROR(__xludf.DUMMYFUNCTION("""COMPUTED_VALUE"""),"W64071")</f>
        <v>W64071</v>
      </c>
      <c r="AA49" s="37" t="str">
        <f ca="1">IFERROR(__xludf.DUMMYFUNCTION("""COMPUTED_VALUE"""),"27/10/2024")</f>
        <v>27/10/2024</v>
      </c>
      <c r="AB49" s="64">
        <f ca="1">IFERROR(__xludf.DUMMYFUNCTION("""COMPUTED_VALUE"""),0.270833333333333)</f>
        <v>0.27083333333333298</v>
      </c>
    </row>
    <row r="50" spans="1:28" ht="14.55" customHeight="1" x14ac:dyDescent="0.3">
      <c r="A50" s="8">
        <v>48</v>
      </c>
      <c r="B50" s="8"/>
      <c r="C50" s="8"/>
      <c r="D50" s="13">
        <f ca="1">IFERROR(__xludf.DUMMYFUNCTION("""COMPUTED_VALUE"""),45420)</f>
        <v>45420</v>
      </c>
      <c r="E50" s="16" t="str">
        <f ca="1">IFERROR(__xludf.DUMMYFUNCTION("""COMPUTED_VALUE"""),"Player")</f>
        <v>Player</v>
      </c>
      <c r="F50" s="8" t="str">
        <f ca="1">IFERROR(__xludf.DUMMYFUNCTION("""COMPUTED_VALUE"""),"Geltz, Noah")</f>
        <v>Geltz, Noah</v>
      </c>
      <c r="G50" s="16" t="str">
        <f ca="1">IFERROR(__xludf.DUMMYFUNCTION("""COMPUTED_VALUE"""),"GER")</f>
        <v>GER</v>
      </c>
      <c r="H50" s="8"/>
      <c r="I50" s="8">
        <f ca="1">IFERROR(__xludf.DUMMYFUNCTION("""COMPUTED_VALUE"""),100)</f>
        <v>100</v>
      </c>
      <c r="J50" s="8"/>
      <c r="K50" s="8"/>
      <c r="L50" s="8" t="str">
        <f ca="1">IFERROR(__xludf.DUMMYFUNCTION("""COMPUTED_VALUE"""),"De Sprenger Echternach")</f>
        <v>De Sprenger Echternach</v>
      </c>
      <c r="M50" s="16" t="str">
        <f ca="1">IFERROR(__xludf.DUMMYFUNCTION("""COMPUTED_VALUE"""),"LUX")</f>
        <v>LUX</v>
      </c>
      <c r="N50" s="16" t="str">
        <f ca="1">IFERROR(__xludf.DUMMYFUNCTION("""COMPUTED_VALUE"""),"Fontana")</f>
        <v>Fontana</v>
      </c>
      <c r="O50" s="8"/>
      <c r="P50" s="8">
        <f ca="1">IFERROR(__xludf.DUMMYFUNCTION("""COMPUTED_VALUE"""),104)</f>
        <v>104</v>
      </c>
      <c r="Q50" s="8">
        <f ca="1">IFERROR(__xludf.DUMMYFUNCTION("""COMPUTED_VALUE"""),8)</f>
        <v>8</v>
      </c>
      <c r="R50" s="8">
        <f ca="1">IFERROR(__xludf.DUMMYFUNCTION("""COMPUTED_VALUE"""),832)</f>
        <v>832</v>
      </c>
      <c r="S50" s="8">
        <f ca="1">IFERROR(__xludf.DUMMYFUNCTION("""COMPUTED_VALUE"""),12.8)</f>
        <v>12.8</v>
      </c>
      <c r="T50" s="8">
        <f ca="1">IFERROR(__xludf.DUMMYFUNCTION("""COMPUTED_VALUE"""),844.8)</f>
        <v>844.8</v>
      </c>
      <c r="U50" s="8"/>
      <c r="V50" s="8"/>
      <c r="W50" s="8"/>
      <c r="X50" s="8"/>
      <c r="Y50" s="8"/>
      <c r="Z50" s="37" t="str">
        <f ca="1">IFERROR(__xludf.DUMMYFUNCTION("""COMPUTED_VALUE"""),"JU346")</f>
        <v>JU346</v>
      </c>
      <c r="AA50" s="37" t="str">
        <f ca="1">IFERROR(__xludf.DUMMYFUNCTION("""COMPUTED_VALUE"""),"27/10/2024")</f>
        <v>27/10/2024</v>
      </c>
      <c r="AB50" s="64">
        <f ca="1">IFERROR(__xludf.DUMMYFUNCTION("""COMPUTED_VALUE"""),0.28125)</f>
        <v>0.28125</v>
      </c>
    </row>
    <row r="51" spans="1:28" ht="14.55" customHeight="1" x14ac:dyDescent="0.3">
      <c r="A51" s="8">
        <v>49</v>
      </c>
      <c r="B51" s="8"/>
      <c r="C51" s="8"/>
      <c r="D51" s="8" t="str">
        <f ca="1">IFERROR(__xludf.DUMMYFUNCTION("""COMPUTED_VALUE"""),"15/08/2024")</f>
        <v>15/08/2024</v>
      </c>
      <c r="E51" s="16" t="str">
        <f ca="1">IFERROR(__xludf.DUMMYFUNCTION("""COMPUTED_VALUE"""),"Player")</f>
        <v>Player</v>
      </c>
      <c r="F51" s="8" t="str">
        <f ca="1">IFERROR(__xludf.DUMMYFUNCTION("""COMPUTED_VALUE"""),"Bashylina, Luisa")</f>
        <v>Bashylina, Luisa</v>
      </c>
      <c r="G51" s="8" t="str">
        <f ca="1">IFERROR(__xludf.DUMMYFUNCTION("""COMPUTED_VALUE"""),"GER")</f>
        <v>GER</v>
      </c>
      <c r="H51" s="8"/>
      <c r="I51" s="8">
        <f ca="1">IFERROR(__xludf.DUMMYFUNCTION("""COMPUTED_VALUE"""),100)</f>
        <v>100</v>
      </c>
      <c r="J51" s="8"/>
      <c r="K51" s="8"/>
      <c r="L51" s="8" t="s">
        <v>4</v>
      </c>
      <c r="M51" s="8" t="str">
        <f ca="1">IFERROR(__xludf.DUMMYFUNCTION("""COMPUTED_VALUE"""),"GER")</f>
        <v>GER</v>
      </c>
      <c r="N51" s="16" t="str">
        <f ca="1">IFERROR(__xludf.DUMMYFUNCTION("""COMPUTED_VALUE"""),"Zepter")</f>
        <v>Zepter</v>
      </c>
      <c r="O51" s="8" t="str">
        <f ca="1">IFERROR(__xludf.DUMMYFUNCTION("""COMPUTED_VALUE"""),"Double")</f>
        <v>Double</v>
      </c>
      <c r="P51" s="8" t="str">
        <f ca="1">IFERROR(__xludf.DUMMYFUNCTION("""COMPUTED_VALUE"""),"Karacsonyi")</f>
        <v>Karacsonyi</v>
      </c>
      <c r="Q51" s="8">
        <f ca="1">IFERROR(__xludf.DUMMYFUNCTION("""COMPUTED_VALUE"""),8)</f>
        <v>8</v>
      </c>
      <c r="R51" s="8">
        <f ca="1">IFERROR(__xludf.DUMMYFUNCTION("""COMPUTED_VALUE"""),656)</f>
        <v>656</v>
      </c>
      <c r="S51" s="8">
        <f ca="1">IFERROR(__xludf.DUMMYFUNCTION("""COMPUTED_VALUE"""),12.8)</f>
        <v>12.8</v>
      </c>
      <c r="T51" s="8">
        <f ca="1">IFERROR(__xludf.DUMMYFUNCTION("""COMPUTED_VALUE"""),668.8)</f>
        <v>668.8</v>
      </c>
      <c r="U51" s="8"/>
      <c r="V51" s="8"/>
      <c r="W51" s="8"/>
      <c r="X51" s="8"/>
      <c r="Y51" s="8"/>
      <c r="Z51" s="37" t="str">
        <f ca="1">IFERROR(__xludf.DUMMYFUNCTION("""COMPUTED_VALUE"""),"JU 360")</f>
        <v>JU 360</v>
      </c>
      <c r="AA51" s="37" t="str">
        <f ca="1">IFERROR(__xludf.DUMMYFUNCTION("""COMPUTED_VALUE"""),"27/10/2024")</f>
        <v>27/10/2024</v>
      </c>
      <c r="AB51" s="64">
        <v>0.28125</v>
      </c>
    </row>
    <row r="52" spans="1:28" ht="14.55" customHeight="1" x14ac:dyDescent="0.3">
      <c r="A52" s="8">
        <v>50</v>
      </c>
      <c r="B52" s="8"/>
      <c r="C52" s="8"/>
      <c r="D52" s="8" t="str">
        <f ca="1">IFERROR(__xludf.DUMMYFUNCTION("""COMPUTED_VALUE"""),"22/08/2024")</f>
        <v>22/08/2024</v>
      </c>
      <c r="E52" s="16" t="str">
        <f ca="1">IFERROR(__xludf.DUMMYFUNCTION("""COMPUTED_VALUE"""),"Player")</f>
        <v>Player</v>
      </c>
      <c r="F52" s="8" t="s">
        <v>28</v>
      </c>
      <c r="G52" s="8"/>
      <c r="H52" s="8"/>
      <c r="I52" s="8">
        <f ca="1">IFERROR(__xludf.DUMMYFUNCTION("""COMPUTED_VALUE"""),100)</f>
        <v>100</v>
      </c>
      <c r="J52" s="8"/>
      <c r="K52" s="8"/>
      <c r="L52" s="8" t="s">
        <v>4</v>
      </c>
      <c r="M52" s="8" t="str">
        <f ca="1">IFERROR(__xludf.DUMMYFUNCTION("""COMPUTED_VALUE"""),"GER")</f>
        <v>GER</v>
      </c>
      <c r="N52" s="16" t="str">
        <f ca="1">IFERROR(__xludf.DUMMYFUNCTION("""COMPUTED_VALUE"""),"Tonanti")</f>
        <v>Tonanti</v>
      </c>
      <c r="O52" s="8" t="str">
        <f ca="1">IFERROR(__xludf.DUMMYFUNCTION("""COMPUTED_VALUE"""),"Double")</f>
        <v>Double</v>
      </c>
      <c r="P52" s="8" t="str">
        <f ca="1">IFERROR(__xludf.DUMMYFUNCTION("""COMPUTED_VALUE"""),"Sereda")</f>
        <v>Sereda</v>
      </c>
      <c r="Q52" s="8">
        <f ca="1">IFERROR(__xludf.DUMMYFUNCTION("""COMPUTED_VALUE"""),8)</f>
        <v>8</v>
      </c>
      <c r="R52" s="8">
        <f ca="1">IFERROR(__xludf.DUMMYFUNCTION("""COMPUTED_VALUE"""),0)</f>
        <v>0</v>
      </c>
      <c r="S52" s="8">
        <f ca="1">IFERROR(__xludf.DUMMYFUNCTION("""COMPUTED_VALUE"""),12.8)</f>
        <v>12.8</v>
      </c>
      <c r="T52" s="8">
        <f ca="1">IFERROR(__xludf.DUMMYFUNCTION("""COMPUTED_VALUE"""),12.8)</f>
        <v>12.8</v>
      </c>
      <c r="U52" s="8"/>
      <c r="V52" s="8"/>
      <c r="W52" s="8"/>
      <c r="X52" s="8"/>
      <c r="Y52" s="8"/>
      <c r="Z52" s="37" t="str">
        <f ca="1">IFERROR(__xludf.DUMMYFUNCTION("""COMPUTED_VALUE"""),"JU 360")</f>
        <v>JU 360</v>
      </c>
      <c r="AA52" s="37" t="str">
        <f ca="1">IFERROR(__xludf.DUMMYFUNCTION("""COMPUTED_VALUE"""),"27/10/2024")</f>
        <v>27/10/2024</v>
      </c>
      <c r="AB52" s="64">
        <v>0.28125</v>
      </c>
    </row>
    <row r="53" spans="1:28" ht="14.55" customHeight="1" x14ac:dyDescent="0.3">
      <c r="A53" s="8">
        <v>51</v>
      </c>
      <c r="B53" s="8"/>
      <c r="C53" s="8"/>
      <c r="D53" s="8" t="str">
        <f ca="1">IFERROR(__xludf.DUMMYFUNCTION("""COMPUTED_VALUE"""),"22/08/2024")</f>
        <v>22/08/2024</v>
      </c>
      <c r="E53" s="16" t="str">
        <f ca="1">IFERROR(__xludf.DUMMYFUNCTION("""COMPUTED_VALUE"""),"Player")</f>
        <v>Player</v>
      </c>
      <c r="F53" s="8" t="str">
        <f ca="1">IFERROR(__xludf.DUMMYFUNCTION("""COMPUTED_VALUE"""),"Sereda, Yaroslava")</f>
        <v>Sereda, Yaroslava</v>
      </c>
      <c r="G53" s="8" t="str">
        <f ca="1">IFERROR(__xludf.DUMMYFUNCTION("""COMPUTED_VALUE"""),"GER")</f>
        <v>GER</v>
      </c>
      <c r="H53" s="8"/>
      <c r="I53" s="8">
        <f ca="1">IFERROR(__xludf.DUMMYFUNCTION("""COMPUTED_VALUE"""),100)</f>
        <v>100</v>
      </c>
      <c r="J53" s="8"/>
      <c r="K53" s="8"/>
      <c r="L53" s="8" t="s">
        <v>4</v>
      </c>
      <c r="M53" s="8" t="str">
        <f ca="1">IFERROR(__xludf.DUMMYFUNCTION("""COMPUTED_VALUE"""),"GER")</f>
        <v>GER</v>
      </c>
      <c r="N53" s="16" t="str">
        <f ca="1">IFERROR(__xludf.DUMMYFUNCTION("""COMPUTED_VALUE"""),"Tonanti")</f>
        <v>Tonanti</v>
      </c>
      <c r="O53" s="8" t="str">
        <f ca="1">IFERROR(__xludf.DUMMYFUNCTION("""COMPUTED_VALUE"""),"Double")</f>
        <v>Double</v>
      </c>
      <c r="P53" s="8" t="str">
        <f ca="1">IFERROR(__xludf.DUMMYFUNCTION("""COMPUTED_VALUE"""),"N.N. 1")</f>
        <v>N.N. 1</v>
      </c>
      <c r="Q53" s="8">
        <f ca="1">IFERROR(__xludf.DUMMYFUNCTION("""COMPUTED_VALUE"""),8)</f>
        <v>8</v>
      </c>
      <c r="R53" s="8">
        <f ca="1">IFERROR(__xludf.DUMMYFUNCTION("""COMPUTED_VALUE"""),0)</f>
        <v>0</v>
      </c>
      <c r="S53" s="8">
        <f ca="1">IFERROR(__xludf.DUMMYFUNCTION("""COMPUTED_VALUE"""),12.8)</f>
        <v>12.8</v>
      </c>
      <c r="T53" s="8">
        <f ca="1">IFERROR(__xludf.DUMMYFUNCTION("""COMPUTED_VALUE"""),12.8)</f>
        <v>12.8</v>
      </c>
      <c r="U53" s="8"/>
      <c r="V53" s="8"/>
      <c r="W53" s="8"/>
      <c r="X53" s="8"/>
      <c r="Y53" s="8"/>
      <c r="Z53" s="37" t="str">
        <f ca="1">IFERROR(__xludf.DUMMYFUNCTION("""COMPUTED_VALUE"""),"JU 360")</f>
        <v>JU 360</v>
      </c>
      <c r="AA53" s="37" t="str">
        <f ca="1">IFERROR(__xludf.DUMMYFUNCTION("""COMPUTED_VALUE"""),"27/10/2024")</f>
        <v>27/10/2024</v>
      </c>
      <c r="AB53" s="64">
        <v>0.28125</v>
      </c>
    </row>
    <row r="54" spans="1:28" ht="14.55" customHeight="1" x14ac:dyDescent="0.3">
      <c r="A54" s="8">
        <v>52</v>
      </c>
      <c r="B54" s="8"/>
      <c r="C54" s="8"/>
      <c r="D54" s="8" t="str">
        <f ca="1">IFERROR(__xludf.DUMMYFUNCTION("""COMPUTED_VALUE"""),"22/08/2024")</f>
        <v>22/08/2024</v>
      </c>
      <c r="E54" s="16" t="str">
        <f ca="1">IFERROR(__xludf.DUMMYFUNCTION("""COMPUTED_VALUE"""),"Player")</f>
        <v>Player</v>
      </c>
      <c r="F54" s="8" t="str">
        <f ca="1">IFERROR(__xludf.DUMMYFUNCTION("""COMPUTED_VALUE"""),"Muedder, Melanie")</f>
        <v>Muedder, Melanie</v>
      </c>
      <c r="G54" s="8" t="str">
        <f ca="1">IFERROR(__xludf.DUMMYFUNCTION("""COMPUTED_VALUE"""),"GER")</f>
        <v>GER</v>
      </c>
      <c r="H54" s="8"/>
      <c r="I54" s="8">
        <f ca="1">IFERROR(__xludf.DUMMYFUNCTION("""COMPUTED_VALUE"""),100)</f>
        <v>100</v>
      </c>
      <c r="J54" s="8"/>
      <c r="K54" s="8"/>
      <c r="L54" s="8" t="s">
        <v>4</v>
      </c>
      <c r="M54" s="8" t="str">
        <f ca="1">IFERROR(__xludf.DUMMYFUNCTION("""COMPUTED_VALUE"""),"GER")</f>
        <v>GER</v>
      </c>
      <c r="N54" s="16" t="str">
        <f ca="1">IFERROR(__xludf.DUMMYFUNCTION("""COMPUTED_VALUE"""),"Tonanti")</f>
        <v>Tonanti</v>
      </c>
      <c r="O54" s="8" t="str">
        <f ca="1">IFERROR(__xludf.DUMMYFUNCTION("""COMPUTED_VALUE"""),"Double")</f>
        <v>Double</v>
      </c>
      <c r="P54" s="8" t="str">
        <f ca="1">IFERROR(__xludf.DUMMYFUNCTION("""COMPUTED_VALUE"""),"Rudolph")</f>
        <v>Rudolph</v>
      </c>
      <c r="Q54" s="8">
        <f ca="1">IFERROR(__xludf.DUMMYFUNCTION("""COMPUTED_VALUE"""),8)</f>
        <v>8</v>
      </c>
      <c r="R54" s="8">
        <f ca="1">IFERROR(__xludf.DUMMYFUNCTION("""COMPUTED_VALUE"""),0)</f>
        <v>0</v>
      </c>
      <c r="S54" s="8">
        <f ca="1">IFERROR(__xludf.DUMMYFUNCTION("""COMPUTED_VALUE"""),12.8)</f>
        <v>12.8</v>
      </c>
      <c r="T54" s="8">
        <f ca="1">IFERROR(__xludf.DUMMYFUNCTION("""COMPUTED_VALUE"""),12.8)</f>
        <v>12.8</v>
      </c>
      <c r="U54" s="8"/>
      <c r="V54" s="8"/>
      <c r="W54" s="8"/>
      <c r="X54" s="8"/>
      <c r="Y54" s="8"/>
      <c r="Z54" s="37" t="str">
        <f ca="1">IFERROR(__xludf.DUMMYFUNCTION("""COMPUTED_VALUE"""),"JU 360")</f>
        <v>JU 360</v>
      </c>
      <c r="AA54" s="37" t="str">
        <f ca="1">IFERROR(__xludf.DUMMYFUNCTION("""COMPUTED_VALUE"""),"27/10/2024")</f>
        <v>27/10/2024</v>
      </c>
      <c r="AB54" s="64">
        <v>0.28125</v>
      </c>
    </row>
    <row r="55" spans="1:28" ht="14.55" customHeight="1" x14ac:dyDescent="0.3">
      <c r="A55" s="8">
        <v>53</v>
      </c>
      <c r="B55" s="8"/>
      <c r="C55" s="8"/>
      <c r="D55" s="8" t="str">
        <f ca="1">IFERROR(__xludf.DUMMYFUNCTION("""COMPUTED_VALUE"""),"22/08/2024")</f>
        <v>22/08/2024</v>
      </c>
      <c r="E55" s="16" t="str">
        <f ca="1">IFERROR(__xludf.DUMMYFUNCTION("""COMPUTED_VALUE"""),"Player")</f>
        <v>Player</v>
      </c>
      <c r="F55" s="8" t="str">
        <f ca="1">IFERROR(__xludf.DUMMYFUNCTION("""COMPUTED_VALUE"""),"Rudolph, Eva")</f>
        <v>Rudolph, Eva</v>
      </c>
      <c r="G55" s="8" t="str">
        <f ca="1">IFERROR(__xludf.DUMMYFUNCTION("""COMPUTED_VALUE"""),"GER")</f>
        <v>GER</v>
      </c>
      <c r="H55" s="8"/>
      <c r="I55" s="8">
        <f ca="1">IFERROR(__xludf.DUMMYFUNCTION("""COMPUTED_VALUE"""),100)</f>
        <v>100</v>
      </c>
      <c r="J55" s="8"/>
      <c r="K55" s="8"/>
      <c r="L55" s="8" t="s">
        <v>4</v>
      </c>
      <c r="M55" s="8" t="str">
        <f ca="1">IFERROR(__xludf.DUMMYFUNCTION("""COMPUTED_VALUE"""),"GER")</f>
        <v>GER</v>
      </c>
      <c r="N55" s="16" t="str">
        <f ca="1">IFERROR(__xludf.DUMMYFUNCTION("""COMPUTED_VALUE"""),"Tonanti")</f>
        <v>Tonanti</v>
      </c>
      <c r="O55" s="8" t="str">
        <f ca="1">IFERROR(__xludf.DUMMYFUNCTION("""COMPUTED_VALUE"""),"Double")</f>
        <v>Double</v>
      </c>
      <c r="P55" s="8" t="str">
        <f ca="1">IFERROR(__xludf.DUMMYFUNCTION("""COMPUTED_VALUE"""),"Müdder")</f>
        <v>Müdder</v>
      </c>
      <c r="Q55" s="8">
        <f ca="1">IFERROR(__xludf.DUMMYFUNCTION("""COMPUTED_VALUE"""),8)</f>
        <v>8</v>
      </c>
      <c r="R55" s="8">
        <f ca="1">IFERROR(__xludf.DUMMYFUNCTION("""COMPUTED_VALUE"""),0)</f>
        <v>0</v>
      </c>
      <c r="S55" s="8">
        <f ca="1">IFERROR(__xludf.DUMMYFUNCTION("""COMPUTED_VALUE"""),12.8)</f>
        <v>12.8</v>
      </c>
      <c r="T55" s="8">
        <f ca="1">IFERROR(__xludf.DUMMYFUNCTION("""COMPUTED_VALUE"""),12.8)</f>
        <v>12.8</v>
      </c>
      <c r="U55" s="8"/>
      <c r="V55" s="8"/>
      <c r="W55" s="8"/>
      <c r="X55" s="8"/>
      <c r="Y55" s="8"/>
      <c r="Z55" s="37" t="str">
        <f ca="1">IFERROR(__xludf.DUMMYFUNCTION("""COMPUTED_VALUE"""),"JU 360")</f>
        <v>JU 360</v>
      </c>
      <c r="AA55" s="37" t="str">
        <f ca="1">IFERROR(__xludf.DUMMYFUNCTION("""COMPUTED_VALUE"""),"27/10/2024")</f>
        <v>27/10/2024</v>
      </c>
      <c r="AB55" s="64">
        <v>0.28125</v>
      </c>
    </row>
    <row r="56" spans="1:28" ht="14.55" customHeight="1" x14ac:dyDescent="0.3">
      <c r="A56" s="8">
        <v>54</v>
      </c>
      <c r="B56" s="8"/>
      <c r="C56" s="8"/>
      <c r="D56" s="8" t="str">
        <f ca="1">IFERROR(__xludf.DUMMYFUNCTION("""COMPUTED_VALUE"""),"22/08/2024")</f>
        <v>22/08/2024</v>
      </c>
      <c r="E56" s="16" t="str">
        <f ca="1">IFERROR(__xludf.DUMMYFUNCTION("""COMPUTED_VALUE"""),"Player")</f>
        <v>Player</v>
      </c>
      <c r="F56" s="8"/>
      <c r="G56" s="8"/>
      <c r="H56" s="8"/>
      <c r="I56" s="8">
        <f ca="1">IFERROR(__xludf.DUMMYFUNCTION("""COMPUTED_VALUE"""),100)</f>
        <v>100</v>
      </c>
      <c r="J56" s="8"/>
      <c r="K56" s="8"/>
      <c r="L56" s="8" t="s">
        <v>4</v>
      </c>
      <c r="M56" s="8" t="str">
        <f ca="1">IFERROR(__xludf.DUMMYFUNCTION("""COMPUTED_VALUE"""),"GER")</f>
        <v>GER</v>
      </c>
      <c r="N56" s="16" t="str">
        <f ca="1">IFERROR(__xludf.DUMMYFUNCTION("""COMPUTED_VALUE"""),"Tonanti")</f>
        <v>Tonanti</v>
      </c>
      <c r="O56" s="8" t="str">
        <f ca="1">IFERROR(__xludf.DUMMYFUNCTION("""COMPUTED_VALUE"""),"Single")</f>
        <v>Single</v>
      </c>
      <c r="P56" s="8"/>
      <c r="Q56" s="8">
        <f ca="1">IFERROR(__xludf.DUMMYFUNCTION("""COMPUTED_VALUE"""),8)</f>
        <v>8</v>
      </c>
      <c r="R56" s="8">
        <f ca="1">IFERROR(__xludf.DUMMYFUNCTION("""COMPUTED_VALUE"""),0)</f>
        <v>0</v>
      </c>
      <c r="S56" s="8">
        <f ca="1">IFERROR(__xludf.DUMMYFUNCTION("""COMPUTED_VALUE"""),12.8)</f>
        <v>12.8</v>
      </c>
      <c r="T56" s="8">
        <f ca="1">IFERROR(__xludf.DUMMYFUNCTION("""COMPUTED_VALUE"""),12.8)</f>
        <v>12.8</v>
      </c>
      <c r="U56" s="8"/>
      <c r="V56" s="8"/>
      <c r="W56" s="8"/>
      <c r="X56" s="8"/>
      <c r="Y56" s="8"/>
      <c r="Z56" s="37" t="str">
        <f ca="1">IFERROR(__xludf.DUMMYFUNCTION("""COMPUTED_VALUE"""),"JU 360")</f>
        <v>JU 360</v>
      </c>
      <c r="AA56" s="37" t="str">
        <f ca="1">IFERROR(__xludf.DUMMYFUNCTION("""COMPUTED_VALUE"""),"27/10/2024")</f>
        <v>27/10/2024</v>
      </c>
      <c r="AB56" s="64">
        <v>0.28125</v>
      </c>
    </row>
    <row r="57" spans="1:28" ht="14.55" customHeight="1" x14ac:dyDescent="0.3">
      <c r="A57" s="8">
        <v>55</v>
      </c>
      <c r="B57" s="8"/>
      <c r="C57" s="8"/>
      <c r="D57" s="13">
        <f ca="1">IFERROR(__xludf.DUMMYFUNCTION("""COMPUTED_VALUE"""),45544)</f>
        <v>45544</v>
      </c>
      <c r="E57" s="16" t="str">
        <f ca="1">IFERROR(__xludf.DUMMYFUNCTION("""COMPUTED_VALUE"""),"Player")</f>
        <v>Player</v>
      </c>
      <c r="F57" s="8" t="str">
        <f ca="1">IFERROR(__xludf.DUMMYFUNCTION("""COMPUTED_VALUE"""),"Beyer, Christian")</f>
        <v>Beyer, Christian</v>
      </c>
      <c r="G57" s="16" t="str">
        <f ca="1">IFERROR(__xludf.DUMMYFUNCTION("""COMPUTED_VALUE"""),"GER")</f>
        <v>GER</v>
      </c>
      <c r="H57" s="8"/>
      <c r="I57" s="8">
        <f ca="1">IFERROR(__xludf.DUMMYFUNCTION("""COMPUTED_VALUE"""),100)</f>
        <v>100</v>
      </c>
      <c r="J57" s="8"/>
      <c r="K57" s="8"/>
      <c r="L57" s="8" t="str">
        <f ca="1">IFERROR(__xludf.DUMMYFUNCTION("""COMPUTED_VALUE"""),"TSV Schönaich")</f>
        <v>TSV Schönaich</v>
      </c>
      <c r="M57" s="16" t="str">
        <f ca="1">IFERROR(__xludf.DUMMYFUNCTION("""COMPUTED_VALUE"""),"GER")</f>
        <v>GER</v>
      </c>
      <c r="N57" s="16" t="str">
        <f ca="1">IFERROR(__xludf.DUMMYFUNCTION("""COMPUTED_VALUE"""),"Fontana")</f>
        <v>Fontana</v>
      </c>
      <c r="O57" s="8"/>
      <c r="P57" s="8"/>
      <c r="Q57" s="8">
        <f ca="1">IFERROR(__xludf.DUMMYFUNCTION("""COMPUTED_VALUE"""),8)</f>
        <v>8</v>
      </c>
      <c r="R57" s="8">
        <f ca="1">IFERROR(__xludf.DUMMYFUNCTION("""COMPUTED_VALUE"""),0)</f>
        <v>0</v>
      </c>
      <c r="S57" s="8">
        <f ca="1">IFERROR(__xludf.DUMMYFUNCTION("""COMPUTED_VALUE"""),12.8)</f>
        <v>12.8</v>
      </c>
      <c r="T57" s="8">
        <f ca="1">IFERROR(__xludf.DUMMYFUNCTION("""COMPUTED_VALUE"""),12.8)</f>
        <v>12.8</v>
      </c>
      <c r="U57" s="8"/>
      <c r="V57" s="8"/>
      <c r="W57" s="8"/>
      <c r="X57" s="8"/>
      <c r="Y57" s="8"/>
      <c r="Z57" s="37" t="str">
        <f ca="1">IFERROR(__xludf.DUMMYFUNCTION("""COMPUTED_VALUE"""),"JU346")</f>
        <v>JU346</v>
      </c>
      <c r="AA57" s="37" t="str">
        <f ca="1">IFERROR(__xludf.DUMMYFUNCTION("""COMPUTED_VALUE"""),"27/10/2024")</f>
        <v>27/10/2024</v>
      </c>
      <c r="AB57" s="64">
        <f ca="1">IFERROR(__xludf.DUMMYFUNCTION("""COMPUTED_VALUE"""),0.28125)</f>
        <v>0.28125</v>
      </c>
    </row>
    <row r="58" spans="1:28" ht="14.55" customHeight="1" x14ac:dyDescent="0.3">
      <c r="A58" s="8">
        <v>56</v>
      </c>
      <c r="B58" s="8"/>
      <c r="C58" s="8"/>
      <c r="D58" s="13">
        <f ca="1">IFERROR(__xludf.DUMMYFUNCTION("""COMPUTED_VALUE"""),45544)</f>
        <v>45544</v>
      </c>
      <c r="E58" s="16" t="str">
        <f ca="1">IFERROR(__xludf.DUMMYFUNCTION("""COMPUTED_VALUE"""),"Player")</f>
        <v>Player</v>
      </c>
      <c r="F58" s="8" t="str">
        <f ca="1">IFERROR(__xludf.DUMMYFUNCTION("""COMPUTED_VALUE"""),"Keilhack, Harald")</f>
        <v>Keilhack, Harald</v>
      </c>
      <c r="G58" s="16" t="str">
        <f ca="1">IFERROR(__xludf.DUMMYFUNCTION("""COMPUTED_VALUE"""),"GER")</f>
        <v>GER</v>
      </c>
      <c r="H58" s="8"/>
      <c r="I58" s="8">
        <f ca="1">IFERROR(__xludf.DUMMYFUNCTION("""COMPUTED_VALUE"""),100)</f>
        <v>100</v>
      </c>
      <c r="J58" s="8"/>
      <c r="K58" s="8"/>
      <c r="L58" s="8" t="str">
        <f ca="1">IFERROR(__xludf.DUMMYFUNCTION("""COMPUTED_VALUE"""),"TSV Schönaich")</f>
        <v>TSV Schönaich</v>
      </c>
      <c r="M58" s="16" t="str">
        <f ca="1">IFERROR(__xludf.DUMMYFUNCTION("""COMPUTED_VALUE"""),"GER")</f>
        <v>GER</v>
      </c>
      <c r="N58" s="16" t="str">
        <f ca="1">IFERROR(__xludf.DUMMYFUNCTION("""COMPUTED_VALUE"""),"Fontana")</f>
        <v>Fontana</v>
      </c>
      <c r="O58" s="8"/>
      <c r="P58" s="8"/>
      <c r="Q58" s="8">
        <f ca="1">IFERROR(__xludf.DUMMYFUNCTION("""COMPUTED_VALUE"""),8)</f>
        <v>8</v>
      </c>
      <c r="R58" s="8">
        <f ca="1">IFERROR(__xludf.DUMMYFUNCTION("""COMPUTED_VALUE"""),0)</f>
        <v>0</v>
      </c>
      <c r="S58" s="8">
        <f ca="1">IFERROR(__xludf.DUMMYFUNCTION("""COMPUTED_VALUE"""),12.8)</f>
        <v>12.8</v>
      </c>
      <c r="T58" s="8">
        <f ca="1">IFERROR(__xludf.DUMMYFUNCTION("""COMPUTED_VALUE"""),12.8)</f>
        <v>12.8</v>
      </c>
      <c r="U58" s="8"/>
      <c r="V58" s="8"/>
      <c r="W58" s="8"/>
      <c r="X58" s="8"/>
      <c r="Y58" s="8"/>
      <c r="Z58" s="37" t="str">
        <f ca="1">IFERROR(__xludf.DUMMYFUNCTION("""COMPUTED_VALUE"""),"JU346")</f>
        <v>JU346</v>
      </c>
      <c r="AA58" s="37" t="str">
        <f ca="1">IFERROR(__xludf.DUMMYFUNCTION("""COMPUTED_VALUE"""),"27/10/2024")</f>
        <v>27/10/2024</v>
      </c>
      <c r="AB58" s="64">
        <f ca="1">IFERROR(__xludf.DUMMYFUNCTION("""COMPUTED_VALUE"""),0.28125)</f>
        <v>0.28125</v>
      </c>
    </row>
    <row r="59" spans="1:28" ht="14.55" customHeight="1" x14ac:dyDescent="0.3">
      <c r="A59" s="8">
        <v>57</v>
      </c>
      <c r="B59" s="8"/>
      <c r="C59" s="8"/>
      <c r="D59" s="13">
        <f ca="1">IFERROR(__xludf.DUMMYFUNCTION("""COMPUTED_VALUE"""),45544)</f>
        <v>45544</v>
      </c>
      <c r="E59" s="16" t="str">
        <f ca="1">IFERROR(__xludf.DUMMYFUNCTION("""COMPUTED_VALUE"""),"Player")</f>
        <v>Player</v>
      </c>
      <c r="F59" s="8" t="str">
        <f ca="1">IFERROR(__xludf.DUMMYFUNCTION("""COMPUTED_VALUE"""),"Hickl, Thomas")</f>
        <v>Hickl, Thomas</v>
      </c>
      <c r="G59" s="16" t="str">
        <f ca="1">IFERROR(__xludf.DUMMYFUNCTION("""COMPUTED_VALUE"""),"GER")</f>
        <v>GER</v>
      </c>
      <c r="H59" s="8"/>
      <c r="I59" s="8">
        <f ca="1">IFERROR(__xludf.DUMMYFUNCTION("""COMPUTED_VALUE"""),100)</f>
        <v>100</v>
      </c>
      <c r="J59" s="8"/>
      <c r="K59" s="8"/>
      <c r="L59" s="8" t="str">
        <f ca="1">IFERROR(__xludf.DUMMYFUNCTION("""COMPUTED_VALUE"""),"TSV Schönaich")</f>
        <v>TSV Schönaich</v>
      </c>
      <c r="M59" s="16" t="str">
        <f ca="1">IFERROR(__xludf.DUMMYFUNCTION("""COMPUTED_VALUE"""),"GER")</f>
        <v>GER</v>
      </c>
      <c r="N59" s="16" t="str">
        <f ca="1">IFERROR(__xludf.DUMMYFUNCTION("""COMPUTED_VALUE"""),"Fontana")</f>
        <v>Fontana</v>
      </c>
      <c r="O59" s="8"/>
      <c r="P59" s="8"/>
      <c r="Q59" s="8">
        <f ca="1">IFERROR(__xludf.DUMMYFUNCTION("""COMPUTED_VALUE"""),8)</f>
        <v>8</v>
      </c>
      <c r="R59" s="8">
        <f ca="1">IFERROR(__xludf.DUMMYFUNCTION("""COMPUTED_VALUE"""),0)</f>
        <v>0</v>
      </c>
      <c r="S59" s="8">
        <f ca="1">IFERROR(__xludf.DUMMYFUNCTION("""COMPUTED_VALUE"""),12.8)</f>
        <v>12.8</v>
      </c>
      <c r="T59" s="8">
        <f ca="1">IFERROR(__xludf.DUMMYFUNCTION("""COMPUTED_VALUE"""),12.8)</f>
        <v>12.8</v>
      </c>
      <c r="U59" s="8"/>
      <c r="V59" s="8"/>
      <c r="W59" s="8"/>
      <c r="X59" s="8"/>
      <c r="Y59" s="8"/>
      <c r="Z59" s="37" t="str">
        <f ca="1">IFERROR(__xludf.DUMMYFUNCTION("""COMPUTED_VALUE"""),"JU346")</f>
        <v>JU346</v>
      </c>
      <c r="AA59" s="37" t="str">
        <f ca="1">IFERROR(__xludf.DUMMYFUNCTION("""COMPUTED_VALUE"""),"27/10/2024")</f>
        <v>27/10/2024</v>
      </c>
      <c r="AB59" s="64">
        <f ca="1">IFERROR(__xludf.DUMMYFUNCTION("""COMPUTED_VALUE"""),0.28125)</f>
        <v>0.28125</v>
      </c>
    </row>
    <row r="60" spans="1:28" ht="14.55" customHeight="1" x14ac:dyDescent="0.3">
      <c r="A60" s="8">
        <v>58</v>
      </c>
      <c r="B60" s="8"/>
      <c r="C60" s="8" t="str">
        <f ca="1">IFERROR(__xludf.DUMMYFUNCTION("""COMPUTED_VALUE"""),"DELETE")</f>
        <v>DELETE</v>
      </c>
      <c r="D60" s="13">
        <f ca="1">IFERROR(__xludf.DUMMYFUNCTION("""COMPUTED_VALUE"""),45604)</f>
        <v>45604</v>
      </c>
      <c r="E60" s="16" t="str">
        <f ca="1">IFERROR(__xludf.DUMMYFUNCTION("""COMPUTED_VALUE"""),"Player")</f>
        <v>Player</v>
      </c>
      <c r="F60" s="8" t="str">
        <f ca="1">IFERROR(__xludf.DUMMYFUNCTION("""COMPUTED_VALUE"""),"Stukenbrok, Nils")</f>
        <v>Stukenbrok, Nils</v>
      </c>
      <c r="G60" s="16" t="str">
        <f ca="1">IFERROR(__xludf.DUMMYFUNCTION("""COMPUTED_VALUE"""),"GER")</f>
        <v>GER</v>
      </c>
      <c r="H60" s="8"/>
      <c r="I60" s="8">
        <f ca="1">IFERROR(__xludf.DUMMYFUNCTION("""COMPUTED_VALUE"""),100)</f>
        <v>100</v>
      </c>
      <c r="J60" s="8"/>
      <c r="K60" s="8"/>
      <c r="L60" s="8" t="str">
        <f ca="1">IFERROR(__xludf.DUMMYFUNCTION("""COMPUTED_VALUE"""),"TSV Schönaich")</f>
        <v>TSV Schönaich</v>
      </c>
      <c r="M60" s="16" t="str">
        <f ca="1">IFERROR(__xludf.DUMMYFUNCTION("""COMPUTED_VALUE"""),"GER")</f>
        <v>GER</v>
      </c>
      <c r="N60" s="16" t="str">
        <f ca="1">IFERROR(__xludf.DUMMYFUNCTION("""COMPUTED_VALUE"""),"Fontana")</f>
        <v>Fontana</v>
      </c>
      <c r="O60" s="8"/>
      <c r="P60" s="8"/>
      <c r="Q60" s="8">
        <f ca="1">IFERROR(__xludf.DUMMYFUNCTION("""COMPUTED_VALUE"""),8)</f>
        <v>8</v>
      </c>
      <c r="R60" s="8">
        <f ca="1">IFERROR(__xludf.DUMMYFUNCTION("""COMPUTED_VALUE"""),0)</f>
        <v>0</v>
      </c>
      <c r="S60" s="8">
        <f ca="1">IFERROR(__xludf.DUMMYFUNCTION("""COMPUTED_VALUE"""),12.8)</f>
        <v>12.8</v>
      </c>
      <c r="T60" s="8">
        <f ca="1">IFERROR(__xludf.DUMMYFUNCTION("""COMPUTED_VALUE"""),12.8)</f>
        <v>12.8</v>
      </c>
      <c r="U60" s="8"/>
      <c r="V60" s="8"/>
      <c r="W60" s="8"/>
      <c r="X60" s="8"/>
      <c r="Y60" s="8"/>
      <c r="Z60" s="37" t="str">
        <f ca="1">IFERROR(__xludf.DUMMYFUNCTION("""COMPUTED_VALUE"""),"JU346")</f>
        <v>JU346</v>
      </c>
      <c r="AA60" s="37" t="str">
        <f ca="1">IFERROR(__xludf.DUMMYFUNCTION("""COMPUTED_VALUE"""),"27/10/2024")</f>
        <v>27/10/2024</v>
      </c>
      <c r="AB60" s="64">
        <f ca="1">IFERROR(__xludf.DUMMYFUNCTION("""COMPUTED_VALUE"""),0.28125)</f>
        <v>0.28125</v>
      </c>
    </row>
    <row r="61" spans="1:28" ht="14.55" customHeight="1" x14ac:dyDescent="0.3">
      <c r="A61" s="8">
        <v>59</v>
      </c>
      <c r="B61" s="8"/>
      <c r="C61" s="8" t="str">
        <f ca="1">IFERROR(__xludf.DUMMYFUNCTION("""COMPUTED_VALUE"""),"DELETE")</f>
        <v>DELETE</v>
      </c>
      <c r="D61" s="13">
        <f ca="1">IFERROR(__xludf.DUMMYFUNCTION("""COMPUTED_VALUE"""),45604)</f>
        <v>45604</v>
      </c>
      <c r="E61" s="16" t="str">
        <f ca="1">IFERROR(__xludf.DUMMYFUNCTION("""COMPUTED_VALUE"""),"Player")</f>
        <v>Player</v>
      </c>
      <c r="F61" s="8" t="str">
        <f ca="1">IFERROR(__xludf.DUMMYFUNCTION("""COMPUTED_VALUE"""),"Rechner, Jan Philipp")</f>
        <v>Rechner, Jan Philipp</v>
      </c>
      <c r="G61" s="16" t="str">
        <f ca="1">IFERROR(__xludf.DUMMYFUNCTION("""COMPUTED_VALUE"""),"GER")</f>
        <v>GER</v>
      </c>
      <c r="H61" s="8"/>
      <c r="I61" s="8">
        <f ca="1">IFERROR(__xludf.DUMMYFUNCTION("""COMPUTED_VALUE"""),100)</f>
        <v>100</v>
      </c>
      <c r="J61" s="8"/>
      <c r="K61" s="8"/>
      <c r="L61" s="8" t="str">
        <f ca="1">IFERROR(__xludf.DUMMYFUNCTION("""COMPUTED_VALUE"""),"TSV Schönaich")</f>
        <v>TSV Schönaich</v>
      </c>
      <c r="M61" s="16" t="str">
        <f ca="1">IFERROR(__xludf.DUMMYFUNCTION("""COMPUTED_VALUE"""),"GER")</f>
        <v>GER</v>
      </c>
      <c r="N61" s="16" t="str">
        <f ca="1">IFERROR(__xludf.DUMMYFUNCTION("""COMPUTED_VALUE"""),"Fontana")</f>
        <v>Fontana</v>
      </c>
      <c r="O61" s="8" t="str">
        <f ca="1">IFERROR(__xludf.DUMMYFUNCTION("""COMPUTED_VALUE"""),"Reck")</f>
        <v>Reck</v>
      </c>
      <c r="P61" s="8"/>
      <c r="Q61" s="8">
        <f ca="1">IFERROR(__xludf.DUMMYFUNCTION("""COMPUTED_VALUE"""),8)</f>
        <v>8</v>
      </c>
      <c r="R61" s="8">
        <f ca="1">IFERROR(__xludf.DUMMYFUNCTION("""COMPUTED_VALUE"""),0)</f>
        <v>0</v>
      </c>
      <c r="S61" s="8">
        <f ca="1">IFERROR(__xludf.DUMMYFUNCTION("""COMPUTED_VALUE"""),12.8)</f>
        <v>12.8</v>
      </c>
      <c r="T61" s="8">
        <f ca="1">IFERROR(__xludf.DUMMYFUNCTION("""COMPUTED_VALUE"""),12.8)</f>
        <v>12.8</v>
      </c>
      <c r="U61" s="8"/>
      <c r="V61" s="8"/>
      <c r="W61" s="8"/>
      <c r="X61" s="8"/>
      <c r="Y61" s="8"/>
      <c r="Z61" s="37" t="str">
        <f ca="1">IFERROR(__xludf.DUMMYFUNCTION("""COMPUTED_VALUE"""),"JU346")</f>
        <v>JU346</v>
      </c>
      <c r="AA61" s="37" t="str">
        <f ca="1">IFERROR(__xludf.DUMMYFUNCTION("""COMPUTED_VALUE"""),"27/10/2024")</f>
        <v>27/10/2024</v>
      </c>
      <c r="AB61" s="64">
        <f ca="1">IFERROR(__xludf.DUMMYFUNCTION("""COMPUTED_VALUE"""),0.28125)</f>
        <v>0.28125</v>
      </c>
    </row>
    <row r="62" spans="1:28" ht="14.55" customHeight="1" x14ac:dyDescent="0.3">
      <c r="A62" s="8">
        <v>60</v>
      </c>
      <c r="B62" s="8"/>
      <c r="C62" s="8" t="str">
        <f ca="1">IFERROR(__xludf.DUMMYFUNCTION("""COMPUTED_VALUE"""),"DELETE")</f>
        <v>DELETE</v>
      </c>
      <c r="D62" s="13">
        <f ca="1">IFERROR(__xludf.DUMMYFUNCTION("""COMPUTED_VALUE"""),45604)</f>
        <v>45604</v>
      </c>
      <c r="E62" s="16" t="str">
        <f ca="1">IFERROR(__xludf.DUMMYFUNCTION("""COMPUTED_VALUE"""),"Player")</f>
        <v>Player</v>
      </c>
      <c r="F62" s="8" t="str">
        <f ca="1">IFERROR(__xludf.DUMMYFUNCTION("""COMPUTED_VALUE"""),"Reck, Moritz")</f>
        <v>Reck, Moritz</v>
      </c>
      <c r="G62" s="16" t="str">
        <f ca="1">IFERROR(__xludf.DUMMYFUNCTION("""COMPUTED_VALUE"""),"GER")</f>
        <v>GER</v>
      </c>
      <c r="H62" s="8"/>
      <c r="I62" s="8">
        <f ca="1">IFERROR(__xludf.DUMMYFUNCTION("""COMPUTED_VALUE"""),100)</f>
        <v>100</v>
      </c>
      <c r="J62" s="8"/>
      <c r="K62" s="8"/>
      <c r="L62" s="8" t="str">
        <f ca="1">IFERROR(__xludf.DUMMYFUNCTION("""COMPUTED_VALUE"""),"TSV Schönaich")</f>
        <v>TSV Schönaich</v>
      </c>
      <c r="M62" s="16" t="str">
        <f ca="1">IFERROR(__xludf.DUMMYFUNCTION("""COMPUTED_VALUE"""),"GER")</f>
        <v>GER</v>
      </c>
      <c r="N62" s="16" t="str">
        <f ca="1">IFERROR(__xludf.DUMMYFUNCTION("""COMPUTED_VALUE"""),"Fontana")</f>
        <v>Fontana</v>
      </c>
      <c r="O62" s="8" t="str">
        <f ca="1">IFERROR(__xludf.DUMMYFUNCTION("""COMPUTED_VALUE"""),"Rechner")</f>
        <v>Rechner</v>
      </c>
      <c r="P62" s="8"/>
      <c r="Q62" s="8">
        <f ca="1">IFERROR(__xludf.DUMMYFUNCTION("""COMPUTED_VALUE"""),8)</f>
        <v>8</v>
      </c>
      <c r="R62" s="8">
        <f ca="1">IFERROR(__xludf.DUMMYFUNCTION("""COMPUTED_VALUE"""),0)</f>
        <v>0</v>
      </c>
      <c r="S62" s="8">
        <f ca="1">IFERROR(__xludf.DUMMYFUNCTION("""COMPUTED_VALUE"""),12.8)</f>
        <v>12.8</v>
      </c>
      <c r="T62" s="8">
        <f ca="1">IFERROR(__xludf.DUMMYFUNCTION("""COMPUTED_VALUE"""),12.8)</f>
        <v>12.8</v>
      </c>
      <c r="U62" s="8"/>
      <c r="V62" s="8"/>
      <c r="W62" s="8"/>
      <c r="X62" s="8"/>
      <c r="Y62" s="8"/>
      <c r="Z62" s="37" t="str">
        <f ca="1">IFERROR(__xludf.DUMMYFUNCTION("""COMPUTED_VALUE"""),"JU346")</f>
        <v>JU346</v>
      </c>
      <c r="AA62" s="37" t="str">
        <f ca="1">IFERROR(__xludf.DUMMYFUNCTION("""COMPUTED_VALUE"""),"27/10/2024")</f>
        <v>27/10/2024</v>
      </c>
      <c r="AB62" s="64">
        <f ca="1">IFERROR(__xludf.DUMMYFUNCTION("""COMPUTED_VALUE"""),0.28125)</f>
        <v>0.28125</v>
      </c>
    </row>
    <row r="63" spans="1:28" ht="14.55" customHeight="1" x14ac:dyDescent="0.3">
      <c r="A63" s="8">
        <v>61</v>
      </c>
      <c r="B63" s="8"/>
      <c r="C63" s="8"/>
      <c r="D63" s="8" t="str">
        <f ca="1">IFERROR(__xludf.DUMMYFUNCTION("""COMPUTED_VALUE"""),"14/08/2024")</f>
        <v>14/08/2024</v>
      </c>
      <c r="E63" s="16" t="str">
        <f ca="1">IFERROR(__xludf.DUMMYFUNCTION("""COMPUTED_VALUE"""),"Player")</f>
        <v>Player</v>
      </c>
      <c r="F63" s="8" t="str">
        <f ca="1">IFERROR(__xludf.DUMMYFUNCTION("""COMPUTED_VALUE"""),"Nestor, Kaarel")</f>
        <v>Nestor, Kaarel</v>
      </c>
      <c r="G63" s="16" t="str">
        <f ca="1">IFERROR(__xludf.DUMMYFUNCTION("""COMPUTED_VALUE"""),"EST")</f>
        <v>EST</v>
      </c>
      <c r="H63" s="8"/>
      <c r="I63" s="8">
        <f ca="1">IFERROR(__xludf.DUMMYFUNCTION("""COMPUTED_VALUE"""),100)</f>
        <v>100</v>
      </c>
      <c r="J63" s="8"/>
      <c r="K63" s="8"/>
      <c r="L63" s="8" t="str">
        <f ca="1">IFERROR(__xludf.DUMMYFUNCTION("""COMPUTED_VALUE"""),"SK Reval-Sport")</f>
        <v>SK Reval-Sport</v>
      </c>
      <c r="M63" s="16" t="str">
        <f ca="1">IFERROR(__xludf.DUMMYFUNCTION("""COMPUTED_VALUE"""),"EST")</f>
        <v>EST</v>
      </c>
      <c r="N63" s="16" t="str">
        <f ca="1">IFERROR(__xludf.DUMMYFUNCTION("""COMPUTED_VALUE"""),"Zepter")</f>
        <v>Zepter</v>
      </c>
      <c r="O63" s="8" t="str">
        <f ca="1">IFERROR(__xludf.DUMMYFUNCTION("""COMPUTED_VALUE"""),"Nahkur, Madis")</f>
        <v>Nahkur, Madis</v>
      </c>
      <c r="P63" s="8">
        <f ca="1">IFERROR(__xludf.DUMMYFUNCTION("""COMPUTED_VALUE"""),82)</f>
        <v>82</v>
      </c>
      <c r="Q63" s="8">
        <f ca="1">IFERROR(__xludf.DUMMYFUNCTION("""COMPUTED_VALUE"""),8)</f>
        <v>8</v>
      </c>
      <c r="R63" s="8">
        <f ca="1">IFERROR(__xludf.DUMMYFUNCTION("""COMPUTED_VALUE"""),656)</f>
        <v>656</v>
      </c>
      <c r="S63" s="8">
        <f ca="1">IFERROR(__xludf.DUMMYFUNCTION("""COMPUTED_VALUE"""),12.8)</f>
        <v>12.8</v>
      </c>
      <c r="T63" s="8">
        <f ca="1">IFERROR(__xludf.DUMMYFUNCTION("""COMPUTED_VALUE"""),668.8)</f>
        <v>668.8</v>
      </c>
      <c r="U63" s="8"/>
      <c r="V63" s="8"/>
      <c r="W63" s="8"/>
      <c r="X63" s="8"/>
      <c r="Y63" s="8"/>
      <c r="Z63" s="37" t="str">
        <f ca="1">IFERROR(__xludf.DUMMYFUNCTION("""COMPUTED_VALUE"""),"OS740")</f>
        <v>OS740</v>
      </c>
      <c r="AA63" s="37" t="str">
        <f ca="1">IFERROR(__xludf.DUMMYFUNCTION("""COMPUTED_VALUE"""),"27/10/2024")</f>
        <v>27/10/2024</v>
      </c>
      <c r="AB63" s="64">
        <f ca="1">IFERROR(__xludf.DUMMYFUNCTION("""COMPUTED_VALUE"""),0.284722222222222)</f>
        <v>0.28472222222222199</v>
      </c>
    </row>
    <row r="64" spans="1:28" ht="14.55" customHeight="1" x14ac:dyDescent="0.3">
      <c r="A64" s="8">
        <v>62</v>
      </c>
      <c r="B64" s="8"/>
      <c r="C64" s="8"/>
      <c r="D64" s="8" t="str">
        <f ca="1">IFERROR(__xludf.DUMMYFUNCTION("""COMPUTED_VALUE"""),"14/08/2024")</f>
        <v>14/08/2024</v>
      </c>
      <c r="E64" s="16" t="str">
        <f ca="1">IFERROR(__xludf.DUMMYFUNCTION("""COMPUTED_VALUE"""),"Player")</f>
        <v>Player</v>
      </c>
      <c r="F64" s="8" t="str">
        <f ca="1">IFERROR(__xludf.DUMMYFUNCTION("""COMPUTED_VALUE"""),"Narva, Regina")</f>
        <v>Narva, Regina</v>
      </c>
      <c r="G64" s="16" t="str">
        <f ca="1">IFERROR(__xludf.DUMMYFUNCTION("""COMPUTED_VALUE"""),"EST")</f>
        <v>EST</v>
      </c>
      <c r="H64" s="8"/>
      <c r="I64" s="8">
        <f ca="1">IFERROR(__xludf.DUMMYFUNCTION("""COMPUTED_VALUE"""),100)</f>
        <v>100</v>
      </c>
      <c r="J64" s="8"/>
      <c r="K64" s="8"/>
      <c r="L64" s="8" t="str">
        <f ca="1">IFERROR(__xludf.DUMMYFUNCTION("""COMPUTED_VALUE"""),"SK Reval-Sport")</f>
        <v>SK Reval-Sport</v>
      </c>
      <c r="M64" s="16" t="str">
        <f ca="1">IFERROR(__xludf.DUMMYFUNCTION("""COMPUTED_VALUE"""),"EST")</f>
        <v>EST</v>
      </c>
      <c r="N64" s="16" t="str">
        <f ca="1">IFERROR(__xludf.DUMMYFUNCTION("""COMPUTED_VALUE"""),"Zepter")</f>
        <v>Zepter</v>
      </c>
      <c r="O64" s="8" t="str">
        <f ca="1">IFERROR(__xludf.DUMMYFUNCTION("""COMPUTED_VALUE"""),"Narva, Triin")</f>
        <v>Narva, Triin</v>
      </c>
      <c r="P64" s="8">
        <f ca="1">IFERROR(__xludf.DUMMYFUNCTION("""COMPUTED_VALUE"""),82)</f>
        <v>82</v>
      </c>
      <c r="Q64" s="8">
        <f ca="1">IFERROR(__xludf.DUMMYFUNCTION("""COMPUTED_VALUE"""),8)</f>
        <v>8</v>
      </c>
      <c r="R64" s="8">
        <f ca="1">IFERROR(__xludf.DUMMYFUNCTION("""COMPUTED_VALUE"""),656)</f>
        <v>656</v>
      </c>
      <c r="S64" s="8">
        <f ca="1">IFERROR(__xludf.DUMMYFUNCTION("""COMPUTED_VALUE"""),12.8)</f>
        <v>12.8</v>
      </c>
      <c r="T64" s="8">
        <f ca="1">IFERROR(__xludf.DUMMYFUNCTION("""COMPUTED_VALUE"""),668.8)</f>
        <v>668.8</v>
      </c>
      <c r="U64" s="8"/>
      <c r="V64" s="8"/>
      <c r="W64" s="8"/>
      <c r="X64" s="8"/>
      <c r="Y64" s="8"/>
      <c r="Z64" s="37" t="str">
        <f ca="1">IFERROR(__xludf.DUMMYFUNCTION("""COMPUTED_VALUE"""),"OS740")</f>
        <v>OS740</v>
      </c>
      <c r="AA64" s="37" t="str">
        <f ca="1">IFERROR(__xludf.DUMMYFUNCTION("""COMPUTED_VALUE"""),"27/10/2024")</f>
        <v>27/10/2024</v>
      </c>
      <c r="AB64" s="64">
        <f ca="1">IFERROR(__xludf.DUMMYFUNCTION("""COMPUTED_VALUE"""),0.284722222222222)</f>
        <v>0.28472222222222199</v>
      </c>
    </row>
    <row r="65" spans="1:28" ht="14.55" customHeight="1" x14ac:dyDescent="0.3">
      <c r="A65" s="8">
        <v>63</v>
      </c>
      <c r="B65" s="8"/>
      <c r="C65" s="8"/>
      <c r="D65" s="8"/>
      <c r="E65" s="16" t="str">
        <f ca="1">IFERROR(__xludf.DUMMYFUNCTION("""COMPUTED_VALUE"""),"Player")</f>
        <v>Player</v>
      </c>
      <c r="F65" s="8" t="str">
        <f ca="1">IFERROR(__xludf.DUMMYFUNCTION("""COMPUTED_VALUE"""),"Goryachkina, Aleksandra")</f>
        <v>Goryachkina, Aleksandra</v>
      </c>
      <c r="G65" s="8" t="str">
        <f ca="1">IFERROR(__xludf.DUMMYFUNCTION("""COMPUTED_VALUE"""),"FID")</f>
        <v>FID</v>
      </c>
      <c r="H65" s="8"/>
      <c r="I65" s="8">
        <f ca="1">IFERROR(__xludf.DUMMYFUNCTION("""COMPUTED_VALUE"""),100)</f>
        <v>100</v>
      </c>
      <c r="J65" s="8"/>
      <c r="K65" s="8"/>
      <c r="L65" s="8" t="s">
        <v>2</v>
      </c>
      <c r="M65" s="8" t="str">
        <f ca="1">IFERROR(__xludf.DUMMYFUNCTION("""COMPUTED_VALUE"""),"MNC")</f>
        <v>MNC</v>
      </c>
      <c r="N65" s="16" t="str">
        <f ca="1">IFERROR(__xludf.DUMMYFUNCTION("""COMPUTED_VALUE"""),"Zepter")</f>
        <v>Zepter</v>
      </c>
      <c r="O65" s="8" t="str">
        <f ca="1">IFERROR(__xludf.DUMMYFUNCTION("""COMPUTED_VALUE"""),"Single")</f>
        <v>Single</v>
      </c>
      <c r="P65" s="8"/>
      <c r="Q65" s="8">
        <f ca="1">IFERROR(__xludf.DUMMYFUNCTION("""COMPUTED_VALUE"""),9)</f>
        <v>9</v>
      </c>
      <c r="R65" s="8">
        <f ca="1">IFERROR(__xludf.DUMMYFUNCTION("""COMPUTED_VALUE"""),936)</f>
        <v>936</v>
      </c>
      <c r="S65" s="8">
        <f ca="1">IFERROR(__xludf.DUMMYFUNCTION("""COMPUTED_VALUE"""),14.4)</f>
        <v>14.4</v>
      </c>
      <c r="T65" s="8">
        <f ca="1">IFERROR(__xludf.DUMMYFUNCTION("""COMPUTED_VALUE"""),950.4)</f>
        <v>950.4</v>
      </c>
      <c r="U65" s="8"/>
      <c r="V65" s="8"/>
      <c r="W65" s="8" t="str">
        <f ca="1">IFERROR(__xludf.DUMMYFUNCTION("""COMPUTED_VALUE"""),"YES")</f>
        <v>YES</v>
      </c>
      <c r="X65" s="8"/>
      <c r="Y65" s="8"/>
      <c r="Z65" s="37" t="s">
        <v>26</v>
      </c>
      <c r="AA65" s="37" t="str">
        <f ca="1">IFERROR(__xludf.DUMMYFUNCTION("""COMPUTED_VALUE"""),"27/10/2024")</f>
        <v>27/10/2024</v>
      </c>
      <c r="AB65" s="64">
        <v>0.3125</v>
      </c>
    </row>
    <row r="66" spans="1:28" ht="14.55" customHeight="1" x14ac:dyDescent="0.3">
      <c r="A66" s="8">
        <v>64</v>
      </c>
      <c r="B66" s="8"/>
      <c r="C66" s="8"/>
      <c r="D66" s="8" t="str">
        <f ca="1">IFERROR(__xludf.DUMMYFUNCTION("""COMPUTED_VALUE"""),"29/07/2024")</f>
        <v>29/07/2024</v>
      </c>
      <c r="E66" s="16" t="str">
        <f ca="1">IFERROR(__xludf.DUMMYFUNCTION("""COMPUTED_VALUE"""),"Player")</f>
        <v>Player</v>
      </c>
      <c r="F66" s="8" t="str">
        <f ca="1">IFERROR(__xludf.DUMMYFUNCTION("""COMPUTED_VALUE"""),"Pleshkov, Mikhail")</f>
        <v>Pleshkov, Mikhail</v>
      </c>
      <c r="G66" s="16" t="str">
        <f ca="1">IFERROR(__xludf.DUMMYFUNCTION("""COMPUTED_VALUE"""),"FID")</f>
        <v>FID</v>
      </c>
      <c r="H66" s="8"/>
      <c r="I66" s="8">
        <f ca="1">IFERROR(__xludf.DUMMYFUNCTION("""COMPUTED_VALUE"""),100)</f>
        <v>100</v>
      </c>
      <c r="J66" s="8"/>
      <c r="K66" s="8"/>
      <c r="L66" s="8" t="str">
        <f ca="1">IFERROR(__xludf.DUMMYFUNCTION("""COMPUTED_VALUE"""),"Perfect")</f>
        <v>Perfect</v>
      </c>
      <c r="M66" s="16" t="str">
        <f ca="1">IFERROR(__xludf.DUMMYFUNCTION("""COMPUTED_VALUE"""),"MDA")</f>
        <v>MDA</v>
      </c>
      <c r="N66" s="16" t="str">
        <f ca="1">IFERROR(__xludf.DUMMYFUNCTION("""COMPUTED_VALUE"""),"Fontana")</f>
        <v>Fontana</v>
      </c>
      <c r="O66" s="8"/>
      <c r="P66" s="8">
        <f ca="1">IFERROR(__xludf.DUMMYFUNCTION("""COMPUTED_VALUE"""),104)</f>
        <v>104</v>
      </c>
      <c r="Q66" s="8">
        <f ca="1">IFERROR(__xludf.DUMMYFUNCTION("""COMPUTED_VALUE"""),8)</f>
        <v>8</v>
      </c>
      <c r="R66" s="8">
        <f ca="1">IFERROR(__xludf.DUMMYFUNCTION("""COMPUTED_VALUE"""),832)</f>
        <v>832</v>
      </c>
      <c r="S66" s="8">
        <f ca="1">IFERROR(__xludf.DUMMYFUNCTION("""COMPUTED_VALUE"""),12.8)</f>
        <v>12.8</v>
      </c>
      <c r="T66" s="8">
        <f ca="1">IFERROR(__xludf.DUMMYFUNCTION("""COMPUTED_VALUE"""),844.8)</f>
        <v>844.8</v>
      </c>
      <c r="U66" s="8"/>
      <c r="V66" s="8"/>
      <c r="W66" s="8"/>
      <c r="X66" s="8"/>
      <c r="Y66" s="8"/>
      <c r="Z66" s="37" t="s">
        <v>1</v>
      </c>
      <c r="AA66" s="37" t="str">
        <f ca="1">IFERROR(__xludf.DUMMYFUNCTION("""COMPUTED_VALUE"""),"27/10/2024")</f>
        <v>27/10/2024</v>
      </c>
      <c r="AB66" s="64">
        <f ca="1">IFERROR(__xludf.DUMMYFUNCTION("""COMPUTED_VALUE"""),0.3125)</f>
        <v>0.3125</v>
      </c>
    </row>
    <row r="67" spans="1:28" ht="14.55" customHeight="1" x14ac:dyDescent="0.3">
      <c r="A67" s="8">
        <v>65</v>
      </c>
      <c r="B67" s="8"/>
      <c r="C67" s="8"/>
      <c r="D67" s="8" t="str">
        <f ca="1">IFERROR(__xludf.DUMMYFUNCTION("""COMPUTED_VALUE"""),"29/07/2024")</f>
        <v>29/07/2024</v>
      </c>
      <c r="E67" s="16" t="s">
        <v>0</v>
      </c>
      <c r="F67" s="8" t="str">
        <f ca="1">IFERROR(__xludf.DUMMYFUNCTION("""COMPUTED_VALUE"""),"Shaov, Timur")</f>
        <v>Shaov, Timur</v>
      </c>
      <c r="G67" s="16"/>
      <c r="H67" s="8"/>
      <c r="I67" s="8">
        <f ca="1">IFERROR(__xludf.DUMMYFUNCTION("""COMPUTED_VALUE"""),100)</f>
        <v>100</v>
      </c>
      <c r="J67" s="8"/>
      <c r="K67" s="8"/>
      <c r="L67" s="8" t="str">
        <f ca="1">IFERROR(__xludf.DUMMYFUNCTION("""COMPUTED_VALUE"""),"Perfect")</f>
        <v>Perfect</v>
      </c>
      <c r="M67" s="16" t="str">
        <f ca="1">IFERROR(__xludf.DUMMYFUNCTION("""COMPUTED_VALUE"""),"MDA")</f>
        <v>MDA</v>
      </c>
      <c r="N67" s="16" t="str">
        <f ca="1">IFERROR(__xludf.DUMMYFUNCTION("""COMPUTED_VALUE"""),"Fontana")</f>
        <v>Fontana</v>
      </c>
      <c r="O67" s="8"/>
      <c r="P67" s="8">
        <f ca="1">IFERROR(__xludf.DUMMYFUNCTION("""COMPUTED_VALUE"""),104)</f>
        <v>104</v>
      </c>
      <c r="Q67" s="8">
        <f ca="1">IFERROR(__xludf.DUMMYFUNCTION("""COMPUTED_VALUE"""),8)</f>
        <v>8</v>
      </c>
      <c r="R67" s="8">
        <f ca="1">IFERROR(__xludf.DUMMYFUNCTION("""COMPUTED_VALUE"""),832)</f>
        <v>832</v>
      </c>
      <c r="S67" s="8">
        <f ca="1">IFERROR(__xludf.DUMMYFUNCTION("""COMPUTED_VALUE"""),12.8)</f>
        <v>12.8</v>
      </c>
      <c r="T67" s="8">
        <f ca="1">IFERROR(__xludf.DUMMYFUNCTION("""COMPUTED_VALUE"""),844.8)</f>
        <v>844.8</v>
      </c>
      <c r="U67" s="8"/>
      <c r="V67" s="8"/>
      <c r="W67" s="8"/>
      <c r="X67" s="8"/>
      <c r="Y67" s="8"/>
      <c r="Z67" s="37" t="s">
        <v>1</v>
      </c>
      <c r="AA67" s="37" t="str">
        <f ca="1">IFERROR(__xludf.DUMMYFUNCTION("""COMPUTED_VALUE"""),"27/10/2024")</f>
        <v>27/10/2024</v>
      </c>
      <c r="AB67" s="64">
        <f ca="1">IFERROR(__xludf.DUMMYFUNCTION("""COMPUTED_VALUE"""),0.3125)</f>
        <v>0.3125</v>
      </c>
    </row>
    <row r="68" spans="1:28" ht="14.55" customHeight="1" x14ac:dyDescent="0.3">
      <c r="A68" s="8">
        <v>66</v>
      </c>
      <c r="B68" s="8"/>
      <c r="C68" s="8"/>
      <c r="D68" s="8" t="str">
        <f ca="1">IFERROR(__xludf.DUMMYFUNCTION("""COMPUTED_VALUE"""),"31/05/2024")</f>
        <v>31/05/2024</v>
      </c>
      <c r="E68" s="16" t="str">
        <f ca="1">IFERROR(__xludf.DUMMYFUNCTION("""COMPUTED_VALUE"""),"Player")</f>
        <v>Player</v>
      </c>
      <c r="F68" s="8" t="str">
        <f ca="1">IFERROR(__xludf.DUMMYFUNCTION("""COMPUTED_VALUE"""),"Aravindh, Chithambaram VR.")</f>
        <v>Aravindh, Chithambaram VR.</v>
      </c>
      <c r="G68" s="16" t="str">
        <f ca="1">IFERROR(__xludf.DUMMYFUNCTION("""COMPUTED_VALUE"""),"IND")</f>
        <v>IND</v>
      </c>
      <c r="H68" s="8"/>
      <c r="I68" s="8">
        <f ca="1">IFERROR(__xludf.DUMMYFUNCTION("""COMPUTED_VALUE"""),100)</f>
        <v>100</v>
      </c>
      <c r="J68" s="8"/>
      <c r="K68" s="8"/>
      <c r="L68" s="8" t="str">
        <f ca="1">IFERROR(__xludf.DUMMYFUNCTION("""COMPUTED_VALUE"""),"Alkaloid")</f>
        <v>Alkaloid</v>
      </c>
      <c r="M68" s="16" t="str">
        <f ca="1">IFERROR(__xludf.DUMMYFUNCTION("""COMPUTED_VALUE"""),"MKD")</f>
        <v>MKD</v>
      </c>
      <c r="N68" s="16" t="str">
        <f ca="1">IFERROR(__xludf.DUMMYFUNCTION("""COMPUTED_VALUE"""),"Zepter")</f>
        <v>Zepter</v>
      </c>
      <c r="O68" s="8"/>
      <c r="P68" s="8">
        <f ca="1">IFERROR(__xludf.DUMMYFUNCTION("""COMPUTED_VALUE"""),104)</f>
        <v>104</v>
      </c>
      <c r="Q68" s="8">
        <f ca="1">IFERROR(__xludf.DUMMYFUNCTION("""COMPUTED_VALUE"""),8)</f>
        <v>8</v>
      </c>
      <c r="R68" s="8">
        <f ca="1">IFERROR(__xludf.DUMMYFUNCTION("""COMPUTED_VALUE"""),832)</f>
        <v>832</v>
      </c>
      <c r="S68" s="8">
        <f ca="1">IFERROR(__xludf.DUMMYFUNCTION("""COMPUTED_VALUE"""),12.8)</f>
        <v>12.8</v>
      </c>
      <c r="T68" s="8">
        <f ca="1">IFERROR(__xludf.DUMMYFUNCTION("""COMPUTED_VALUE"""),844.8)</f>
        <v>844.8</v>
      </c>
      <c r="U68" s="8"/>
      <c r="V68" s="8"/>
      <c r="W68" s="8"/>
      <c r="X68" s="8"/>
      <c r="Y68" s="8"/>
      <c r="Z68" s="37"/>
      <c r="AA68" s="37" t="str">
        <f ca="1">IFERROR(__xludf.DUMMYFUNCTION("""COMPUTED_VALUE"""),"27/10/2024")</f>
        <v>27/10/2024</v>
      </c>
      <c r="AB68" s="64">
        <v>0.32291666666666669</v>
      </c>
    </row>
    <row r="69" spans="1:28" ht="14.55" customHeight="1" x14ac:dyDescent="0.3">
      <c r="A69" s="8">
        <v>67</v>
      </c>
      <c r="B69" s="8"/>
      <c r="C69" s="8"/>
      <c r="D69" s="8"/>
      <c r="E69" s="16" t="str">
        <f ca="1">IFERROR(__xludf.DUMMYFUNCTION("""COMPUTED_VALUE"""),"Player")</f>
        <v>Player</v>
      </c>
      <c r="F69" s="8" t="str">
        <f ca="1">IFERROR(__xludf.DUMMYFUNCTION("""COMPUTED_VALUE"""),"Khademalsharieh, Sarasadat")</f>
        <v>Khademalsharieh, Sarasadat</v>
      </c>
      <c r="G69" s="8" t="str">
        <f ca="1">IFERROR(__xludf.DUMMYFUNCTION("""COMPUTED_VALUE"""),"ESP")</f>
        <v>ESP</v>
      </c>
      <c r="H69" s="8"/>
      <c r="I69" s="8">
        <f ca="1">IFERROR(__xludf.DUMMYFUNCTION("""COMPUTED_VALUE"""),100)</f>
        <v>100</v>
      </c>
      <c r="J69" s="8"/>
      <c r="K69" s="8"/>
      <c r="L69" s="8" t="s">
        <v>2</v>
      </c>
      <c r="M69" s="8" t="str">
        <f ca="1">IFERROR(__xludf.DUMMYFUNCTION("""COMPUTED_VALUE"""),"MNC")</f>
        <v>MNC</v>
      </c>
      <c r="N69" s="16" t="str">
        <f ca="1">IFERROR(__xludf.DUMMYFUNCTION("""COMPUTED_VALUE"""),"Zepter")</f>
        <v>Zepter</v>
      </c>
      <c r="O69" s="8" t="str">
        <f ca="1">IFERROR(__xludf.DUMMYFUNCTION("""COMPUTED_VALUE"""),"Single")</f>
        <v>Single</v>
      </c>
      <c r="P69" s="8"/>
      <c r="Q69" s="8">
        <f ca="1">IFERROR(__xludf.DUMMYFUNCTION("""COMPUTED_VALUE"""),8)</f>
        <v>8</v>
      </c>
      <c r="R69" s="8">
        <f ca="1">IFERROR(__xludf.DUMMYFUNCTION("""COMPUTED_VALUE"""),832)</f>
        <v>832</v>
      </c>
      <c r="S69" s="8">
        <f ca="1">IFERROR(__xludf.DUMMYFUNCTION("""COMPUTED_VALUE"""),12.8)</f>
        <v>12.8</v>
      </c>
      <c r="T69" s="8">
        <f ca="1">IFERROR(__xludf.DUMMYFUNCTION("""COMPUTED_VALUE"""),844.8)</f>
        <v>844.8</v>
      </c>
      <c r="U69" s="8"/>
      <c r="V69" s="8"/>
      <c r="W69" s="8" t="str">
        <f ca="1">IFERROR(__xludf.DUMMYFUNCTION("""COMPUTED_VALUE"""),"YES")</f>
        <v>YES</v>
      </c>
      <c r="X69" s="8"/>
      <c r="Y69" s="8"/>
      <c r="Z69" s="37" t="s">
        <v>25</v>
      </c>
      <c r="AA69" s="37" t="str">
        <f ca="1">IFERROR(__xludf.DUMMYFUNCTION("""COMPUTED_VALUE"""),"27/10/2024")</f>
        <v>27/10/2024</v>
      </c>
      <c r="AB69" s="64">
        <v>0.3263888888888889</v>
      </c>
    </row>
    <row r="70" spans="1:28" ht="23.4" customHeight="1" x14ac:dyDescent="0.4">
      <c r="A70" s="48" t="s">
        <v>60</v>
      </c>
      <c r="B70" s="49"/>
      <c r="C70" s="49"/>
      <c r="D70" s="49"/>
      <c r="E70" s="50"/>
      <c r="F70" s="49"/>
      <c r="G70" s="50"/>
      <c r="H70" s="49"/>
      <c r="I70" s="49"/>
      <c r="J70" s="49"/>
      <c r="K70" s="49"/>
      <c r="L70" s="49"/>
      <c r="M70" s="50"/>
      <c r="N70" s="50"/>
      <c r="O70" s="49"/>
      <c r="P70" s="49"/>
      <c r="Q70" s="49"/>
      <c r="R70" s="49"/>
      <c r="S70" s="49"/>
      <c r="T70" s="49"/>
      <c r="U70" s="49"/>
      <c r="V70" s="49"/>
      <c r="W70" s="49"/>
      <c r="X70" s="49"/>
      <c r="Y70" s="49"/>
      <c r="Z70" s="69"/>
      <c r="AA70" s="53"/>
      <c r="AB70" s="62"/>
    </row>
    <row r="71" spans="1:28" ht="14.55" customHeight="1" x14ac:dyDescent="0.3">
      <c r="A71" s="8">
        <v>1</v>
      </c>
      <c r="B71" s="8"/>
      <c r="C71" s="8"/>
      <c r="D71" s="8" t="str">
        <f ca="1">IFERROR(__xludf.DUMMYFUNCTION("""COMPUTED_VALUE"""),"15/08/2024")</f>
        <v>15/08/2024</v>
      </c>
      <c r="E71" s="16" t="str">
        <f ca="1">IFERROR(__xludf.DUMMYFUNCTION("""COMPUTED_VALUE"""),"Player")</f>
        <v>Player</v>
      </c>
      <c r="F71" s="8" t="str">
        <f ca="1">IFERROR(__xludf.DUMMYFUNCTION("""COMPUTED_VALUE"""),"Can, Emre")</f>
        <v>Can, Emre</v>
      </c>
      <c r="G71" s="16" t="str">
        <f ca="1">IFERROR(__xludf.DUMMYFUNCTION("""COMPUTED_VALUE"""),"TUR")</f>
        <v>TUR</v>
      </c>
      <c r="H71" s="8"/>
      <c r="I71" s="8">
        <f ca="1">IFERROR(__xludf.DUMMYFUNCTION("""COMPUTED_VALUE"""),100)</f>
        <v>100</v>
      </c>
      <c r="J71" s="8"/>
      <c r="K71" s="8"/>
      <c r="L71" s="8" t="str">
        <f ca="1">IFERROR(__xludf.DUMMYFUNCTION("""COMPUTED_VALUE"""),"Bayegan Pendik")</f>
        <v>Bayegan Pendik</v>
      </c>
      <c r="M71" s="16" t="str">
        <f ca="1">IFERROR(__xludf.DUMMYFUNCTION("""COMPUTED_VALUE"""),"TUR")</f>
        <v>TUR</v>
      </c>
      <c r="N71" s="16" t="str">
        <f ca="1">IFERROR(__xludf.DUMMYFUNCTION("""COMPUTED_VALUE"""),"Tonanti")</f>
        <v>Tonanti</v>
      </c>
      <c r="O71" s="8"/>
      <c r="P71" s="8">
        <f ca="1">IFERROR(__xludf.DUMMYFUNCTION("""COMPUTED_VALUE"""),108)</f>
        <v>108</v>
      </c>
      <c r="Q71" s="8">
        <f ca="1">IFERROR(__xludf.DUMMYFUNCTION("""COMPUTED_VALUE"""),8)</f>
        <v>8</v>
      </c>
      <c r="R71" s="8">
        <f ca="1">IFERROR(__xludf.DUMMYFUNCTION("""COMPUTED_VALUE"""),864)</f>
        <v>864</v>
      </c>
      <c r="S71" s="8">
        <f ca="1">IFERROR(__xludf.DUMMYFUNCTION("""COMPUTED_VALUE"""),12.8)</f>
        <v>12.8</v>
      </c>
      <c r="T71" s="8">
        <f ca="1">IFERROR(__xludf.DUMMYFUNCTION("""COMPUTED_VALUE"""),876.8)</f>
        <v>876.8</v>
      </c>
      <c r="U71" s="8"/>
      <c r="V71" s="8"/>
      <c r="W71" s="8"/>
      <c r="X71" s="8"/>
      <c r="Y71" s="8"/>
      <c r="Z71" s="70" t="str">
        <f ca="1">IFERROR(__xludf.DUMMYFUNCTION("""COMPUTED_VALUE"""),"TK1082")</f>
        <v>TK1082</v>
      </c>
      <c r="AA71" s="37" t="str">
        <f ca="1">IFERROR(__xludf.DUMMYFUNCTION("""COMPUTED_VALUE"""),"27/10/2024")</f>
        <v>27/10/2024</v>
      </c>
      <c r="AB71" s="59">
        <f ca="1">IFERROR(__xludf.DUMMYFUNCTION("""COMPUTED_VALUE"""),0.375)</f>
        <v>0.375</v>
      </c>
    </row>
    <row r="72" spans="1:28" ht="14.55" customHeight="1" x14ac:dyDescent="0.3">
      <c r="A72" s="8">
        <v>2</v>
      </c>
      <c r="B72" s="8"/>
      <c r="C72" s="8"/>
      <c r="D72" s="8" t="str">
        <f ca="1">IFERROR(__xludf.DUMMYFUNCTION("""COMPUTED_VALUE"""),"31/07/2024")</f>
        <v>31/07/2024</v>
      </c>
      <c r="E72" s="16" t="str">
        <f ca="1">IFERROR(__xludf.DUMMYFUNCTION("""COMPUTED_VALUE"""),"Player")</f>
        <v>Player</v>
      </c>
      <c r="F72" s="8" t="str">
        <f ca="1">IFERROR(__xludf.DUMMYFUNCTION("""COMPUTED_VALUE"""),"Grigorian, Spartak")</f>
        <v>Grigorian, Spartak</v>
      </c>
      <c r="G72" s="16" t="str">
        <f ca="1">IFERROR(__xludf.DUMMYFUNCTION("""COMPUTED_VALUE"""),"GER")</f>
        <v>GER</v>
      </c>
      <c r="H72" s="8"/>
      <c r="I72" s="8">
        <f ca="1">IFERROR(__xludf.DUMMYFUNCTION("""COMPUTED_VALUE"""),100)</f>
        <v>100</v>
      </c>
      <c r="J72" s="8"/>
      <c r="K72" s="8"/>
      <c r="L72" s="8" t="str">
        <f ca="1">IFERROR(__xludf.DUMMYFUNCTION("""COMPUTED_VALUE"""),"SV Werder Bremen")</f>
        <v>SV Werder Bremen</v>
      </c>
      <c r="M72" s="16" t="str">
        <f ca="1">IFERROR(__xludf.DUMMYFUNCTION("""COMPUTED_VALUE"""),"GER")</f>
        <v>GER</v>
      </c>
      <c r="N72" s="16" t="str">
        <f ca="1">IFERROR(__xludf.DUMMYFUNCTION("""COMPUTED_VALUE"""),"Fontana")</f>
        <v>Fontana</v>
      </c>
      <c r="O72" s="8"/>
      <c r="P72" s="8">
        <f ca="1">IFERROR(__xludf.DUMMYFUNCTION("""COMPUTED_VALUE"""),104)</f>
        <v>104</v>
      </c>
      <c r="Q72" s="8">
        <f ca="1">IFERROR(__xludf.DUMMYFUNCTION("""COMPUTED_VALUE"""),8)</f>
        <v>8</v>
      </c>
      <c r="R72" s="8">
        <f ca="1">IFERROR(__xludf.DUMMYFUNCTION("""COMPUTED_VALUE"""),832)</f>
        <v>832</v>
      </c>
      <c r="S72" s="8">
        <f ca="1">IFERROR(__xludf.DUMMYFUNCTION("""COMPUTED_VALUE"""),12.8)</f>
        <v>12.8</v>
      </c>
      <c r="T72" s="8">
        <f ca="1">IFERROR(__xludf.DUMMYFUNCTION("""COMPUTED_VALUE"""),844.8)</f>
        <v>844.8</v>
      </c>
      <c r="U72" s="8"/>
      <c r="V72" s="8"/>
      <c r="W72" s="8"/>
      <c r="X72" s="8"/>
      <c r="Y72" s="8"/>
      <c r="Z72" s="70" t="str">
        <f ca="1">IFERROR(__xludf.DUMMYFUNCTION("""COMPUTED_VALUE"""),"TK1082")</f>
        <v>TK1082</v>
      </c>
      <c r="AA72" s="37" t="str">
        <f ca="1">IFERROR(__xludf.DUMMYFUNCTION("""COMPUTED_VALUE"""),"27/10/2024")</f>
        <v>27/10/2024</v>
      </c>
      <c r="AB72" s="59">
        <f ca="1">IFERROR(__xludf.DUMMYFUNCTION("""COMPUTED_VALUE"""),0.375)</f>
        <v>0.375</v>
      </c>
    </row>
    <row r="73" spans="1:28" ht="14.55" customHeight="1" x14ac:dyDescent="0.3">
      <c r="A73" s="8">
        <v>3</v>
      </c>
      <c r="B73" s="8"/>
      <c r="C73" s="8" t="str">
        <f ca="1">IFERROR(__xludf.DUMMYFUNCTION("""COMPUTED_VALUE"""),"WILL NOT PLAY")</f>
        <v>WILL NOT PLAY</v>
      </c>
      <c r="D73" s="8" t="str">
        <f ca="1">IFERROR(__xludf.DUMMYFUNCTION("""COMPUTED_VALUE"""),"29/07/2024")</f>
        <v>29/07/2024</v>
      </c>
      <c r="E73" s="16" t="str">
        <f ca="1">IFERROR(__xludf.DUMMYFUNCTION("""COMPUTED_VALUE"""),"Player")</f>
        <v>Player</v>
      </c>
      <c r="F73" s="8" t="s">
        <v>55</v>
      </c>
      <c r="G73" s="16"/>
      <c r="H73" s="8"/>
      <c r="I73" s="8"/>
      <c r="J73" s="8"/>
      <c r="K73" s="8"/>
      <c r="L73" s="8"/>
      <c r="M73" s="16"/>
      <c r="N73" s="16"/>
      <c r="O73" s="8"/>
      <c r="P73" s="8"/>
      <c r="Q73" s="8"/>
      <c r="R73" s="8">
        <f ca="1">IFERROR(__xludf.DUMMYFUNCTION("""COMPUTED_VALUE"""),0)</f>
        <v>0</v>
      </c>
      <c r="S73" s="8">
        <f ca="1">IFERROR(__xludf.DUMMYFUNCTION("""COMPUTED_VALUE"""),0)</f>
        <v>0</v>
      </c>
      <c r="T73" s="8">
        <f ca="1">IFERROR(__xludf.DUMMYFUNCTION("""COMPUTED_VALUE"""),0)</f>
        <v>0</v>
      </c>
      <c r="U73" s="8"/>
      <c r="V73" s="8"/>
      <c r="W73" s="8"/>
      <c r="X73" s="8"/>
      <c r="Y73" s="8"/>
      <c r="Z73" s="37"/>
      <c r="AA73" s="37" t="str">
        <f ca="1">IFERROR(__xludf.DUMMYFUNCTION("""COMPUTED_VALUE"""),"27/10/2024")</f>
        <v>27/10/2024</v>
      </c>
      <c r="AB73" s="64">
        <v>0.375</v>
      </c>
    </row>
    <row r="74" spans="1:28" ht="14.55" customHeight="1" x14ac:dyDescent="0.3">
      <c r="A74" s="8">
        <v>4</v>
      </c>
      <c r="B74" s="8"/>
      <c r="C74" s="8"/>
      <c r="D74" s="8" t="str">
        <f ca="1">IFERROR(__xludf.DUMMYFUNCTION("""COMPUTED_VALUE"""),"29/07/2024")</f>
        <v>29/07/2024</v>
      </c>
      <c r="E74" s="16" t="str">
        <f ca="1">IFERROR(__xludf.DUMMYFUNCTION("""COMPUTED_VALUE"""),"Player")</f>
        <v>Player</v>
      </c>
      <c r="F74" s="8" t="str">
        <f ca="1">IFERROR(__xludf.DUMMYFUNCTION("""COMPUTED_VALUE"""),"Mikhalevski, Victor")</f>
        <v>Mikhalevski, Victor</v>
      </c>
      <c r="G74" s="16" t="str">
        <f ca="1">IFERROR(__xludf.DUMMYFUNCTION("""COMPUTED_VALUE"""),"ISR")</f>
        <v>ISR</v>
      </c>
      <c r="H74" s="8"/>
      <c r="I74" s="8">
        <f ca="1">IFERROR(__xludf.DUMMYFUNCTION("""COMPUTED_VALUE"""),100)</f>
        <v>100</v>
      </c>
      <c r="J74" s="8"/>
      <c r="K74" s="8"/>
      <c r="L74" s="8" t="str">
        <f ca="1">IFERROR(__xludf.DUMMYFUNCTION("""COMPUTED_VALUE"""),"Beer Sheva Chess Club")</f>
        <v>Beer Sheva Chess Club</v>
      </c>
      <c r="M74" s="16" t="str">
        <f ca="1">IFERROR(__xludf.DUMMYFUNCTION("""COMPUTED_VALUE"""),"ISR")</f>
        <v>ISR</v>
      </c>
      <c r="N74" s="16" t="str">
        <f ca="1">IFERROR(__xludf.DUMMYFUNCTION("""COMPUTED_VALUE"""),"Fontana")</f>
        <v>Fontana</v>
      </c>
      <c r="O74" s="8"/>
      <c r="P74" s="8">
        <f ca="1">IFERROR(__xludf.DUMMYFUNCTION("""COMPUTED_VALUE"""),104)</f>
        <v>104</v>
      </c>
      <c r="Q74" s="8">
        <f ca="1">IFERROR(__xludf.DUMMYFUNCTION("""COMPUTED_VALUE"""),8)</f>
        <v>8</v>
      </c>
      <c r="R74" s="8">
        <f ca="1">IFERROR(__xludf.DUMMYFUNCTION("""COMPUTED_VALUE"""),832)</f>
        <v>832</v>
      </c>
      <c r="S74" s="8">
        <f ca="1">IFERROR(__xludf.DUMMYFUNCTION("""COMPUTED_VALUE"""),12.8)</f>
        <v>12.8</v>
      </c>
      <c r="T74" s="8">
        <f ca="1">IFERROR(__xludf.DUMMYFUNCTION("""COMPUTED_VALUE"""),844.8)</f>
        <v>844.8</v>
      </c>
      <c r="U74" s="8"/>
      <c r="V74" s="8"/>
      <c r="W74" s="8" t="str">
        <f ca="1">IFERROR(__xludf.DUMMYFUNCTION("""COMPUTED_VALUE"""),"YES")</f>
        <v>YES</v>
      </c>
      <c r="X74" s="8"/>
      <c r="Y74" s="8"/>
      <c r="Z74" s="37" t="str">
        <f ca="1">IFERROR(__xludf.DUMMYFUNCTION("""COMPUTED_VALUE"""),"LY 5196")</f>
        <v>LY 5196</v>
      </c>
      <c r="AA74" s="37" t="str">
        <f ca="1">IFERROR(__xludf.DUMMYFUNCTION("""COMPUTED_VALUE"""),"28/10/2024")</f>
        <v>28/10/2024</v>
      </c>
      <c r="AB74" s="64">
        <f ca="1">IFERROR(__xludf.DUMMYFUNCTION("""COMPUTED_VALUE"""),0.381944444444444)</f>
        <v>0.38194444444444398</v>
      </c>
    </row>
    <row r="75" spans="1:28" ht="14.55" customHeight="1" x14ac:dyDescent="0.3">
      <c r="A75" s="8">
        <v>5</v>
      </c>
      <c r="B75" s="8"/>
      <c r="C75" s="8"/>
      <c r="D75" s="8" t="str">
        <f ca="1">IFERROR(__xludf.DUMMYFUNCTION("""COMPUTED_VALUE"""),"29/07/2024")</f>
        <v>29/07/2024</v>
      </c>
      <c r="E75" s="16" t="str">
        <f ca="1">IFERROR(__xludf.DUMMYFUNCTION("""COMPUTED_VALUE"""),"Player")</f>
        <v>Player</v>
      </c>
      <c r="F75" s="8" t="str">
        <f ca="1">IFERROR(__xludf.DUMMYFUNCTION("""COMPUTED_VALUE"""),"Steinberg, Nitzan")</f>
        <v>Steinberg, Nitzan</v>
      </c>
      <c r="G75" s="16" t="str">
        <f ca="1">IFERROR(__xludf.DUMMYFUNCTION("""COMPUTED_VALUE"""),"ISR")</f>
        <v>ISR</v>
      </c>
      <c r="H75" s="8"/>
      <c r="I75" s="8">
        <f ca="1">IFERROR(__xludf.DUMMYFUNCTION("""COMPUTED_VALUE"""),100)</f>
        <v>100</v>
      </c>
      <c r="J75" s="8"/>
      <c r="K75" s="8"/>
      <c r="L75" s="8" t="str">
        <f ca="1">IFERROR(__xludf.DUMMYFUNCTION("""COMPUTED_VALUE"""),"Beer Sheva Chess Club")</f>
        <v>Beer Sheva Chess Club</v>
      </c>
      <c r="M75" s="16" t="str">
        <f ca="1">IFERROR(__xludf.DUMMYFUNCTION("""COMPUTED_VALUE"""),"ISR")</f>
        <v>ISR</v>
      </c>
      <c r="N75" s="16" t="str">
        <f ca="1">IFERROR(__xludf.DUMMYFUNCTION("""COMPUTED_VALUE"""),"Fontana")</f>
        <v>Fontana</v>
      </c>
      <c r="O75" s="8"/>
      <c r="P75" s="8">
        <f ca="1">IFERROR(__xludf.DUMMYFUNCTION("""COMPUTED_VALUE"""),104)</f>
        <v>104</v>
      </c>
      <c r="Q75" s="8">
        <f ca="1">IFERROR(__xludf.DUMMYFUNCTION("""COMPUTED_VALUE"""),8)</f>
        <v>8</v>
      </c>
      <c r="R75" s="8">
        <f ca="1">IFERROR(__xludf.DUMMYFUNCTION("""COMPUTED_VALUE"""),832)</f>
        <v>832</v>
      </c>
      <c r="S75" s="8">
        <f ca="1">IFERROR(__xludf.DUMMYFUNCTION("""COMPUTED_VALUE"""),12.8)</f>
        <v>12.8</v>
      </c>
      <c r="T75" s="8">
        <f ca="1">IFERROR(__xludf.DUMMYFUNCTION("""COMPUTED_VALUE"""),844.8)</f>
        <v>844.8</v>
      </c>
      <c r="U75" s="8"/>
      <c r="V75" s="8"/>
      <c r="W75" s="8" t="str">
        <f ca="1">IFERROR(__xludf.DUMMYFUNCTION("""COMPUTED_VALUE"""),"YES")</f>
        <v>YES</v>
      </c>
      <c r="X75" s="8"/>
      <c r="Y75" s="8"/>
      <c r="Z75" s="37" t="str">
        <f ca="1">IFERROR(__xludf.DUMMYFUNCTION("""COMPUTED_VALUE"""),"LY 5196")</f>
        <v>LY 5196</v>
      </c>
      <c r="AA75" s="37" t="str">
        <f ca="1">IFERROR(__xludf.DUMMYFUNCTION("""COMPUTED_VALUE"""),"28/10/2024")</f>
        <v>28/10/2024</v>
      </c>
      <c r="AB75" s="64">
        <f ca="1">IFERROR(__xludf.DUMMYFUNCTION("""COMPUTED_VALUE"""),0.381944444444444)</f>
        <v>0.38194444444444398</v>
      </c>
    </row>
    <row r="76" spans="1:28" ht="14.55" customHeight="1" x14ac:dyDescent="0.3">
      <c r="A76" s="8">
        <v>6</v>
      </c>
      <c r="B76" s="8"/>
      <c r="C76" s="8"/>
      <c r="D76" s="8" t="str">
        <f ca="1">IFERROR(__xludf.DUMMYFUNCTION("""COMPUTED_VALUE"""),"29/07/2024")</f>
        <v>29/07/2024</v>
      </c>
      <c r="E76" s="16" t="str">
        <f ca="1">IFERROR(__xludf.DUMMYFUNCTION("""COMPUTED_VALUE"""),"Player")</f>
        <v>Player</v>
      </c>
      <c r="F76" s="8" t="str">
        <f ca="1">IFERROR(__xludf.DUMMYFUNCTION("""COMPUTED_VALUE"""),"Kobo, Ori")</f>
        <v>Kobo, Ori</v>
      </c>
      <c r="G76" s="16" t="str">
        <f ca="1">IFERROR(__xludf.DUMMYFUNCTION("""COMPUTED_VALUE"""),"ISR")</f>
        <v>ISR</v>
      </c>
      <c r="H76" s="8"/>
      <c r="I76" s="8">
        <f ca="1">IFERROR(__xludf.DUMMYFUNCTION("""COMPUTED_VALUE"""),100)</f>
        <v>100</v>
      </c>
      <c r="J76" s="8"/>
      <c r="K76" s="8"/>
      <c r="L76" s="8" t="str">
        <f ca="1">IFERROR(__xludf.DUMMYFUNCTION("""COMPUTED_VALUE"""),"Beer Sheva Chess Club")</f>
        <v>Beer Sheva Chess Club</v>
      </c>
      <c r="M76" s="16" t="str">
        <f ca="1">IFERROR(__xludf.DUMMYFUNCTION("""COMPUTED_VALUE"""),"ISR")</f>
        <v>ISR</v>
      </c>
      <c r="N76" s="16" t="str">
        <f ca="1">IFERROR(__xludf.DUMMYFUNCTION("""COMPUTED_VALUE"""),"Fontana")</f>
        <v>Fontana</v>
      </c>
      <c r="O76" s="8"/>
      <c r="P76" s="8">
        <f ca="1">IFERROR(__xludf.DUMMYFUNCTION("""COMPUTED_VALUE"""),104)</f>
        <v>104</v>
      </c>
      <c r="Q76" s="8">
        <f ca="1">IFERROR(__xludf.DUMMYFUNCTION("""COMPUTED_VALUE"""),8)</f>
        <v>8</v>
      </c>
      <c r="R76" s="8">
        <f ca="1">IFERROR(__xludf.DUMMYFUNCTION("""COMPUTED_VALUE"""),832)</f>
        <v>832</v>
      </c>
      <c r="S76" s="8">
        <f ca="1">IFERROR(__xludf.DUMMYFUNCTION("""COMPUTED_VALUE"""),12.8)</f>
        <v>12.8</v>
      </c>
      <c r="T76" s="8">
        <f ca="1">IFERROR(__xludf.DUMMYFUNCTION("""COMPUTED_VALUE"""),844.8)</f>
        <v>844.8</v>
      </c>
      <c r="U76" s="8"/>
      <c r="V76" s="8"/>
      <c r="W76" s="8" t="str">
        <f ca="1">IFERROR(__xludf.DUMMYFUNCTION("""COMPUTED_VALUE"""),"YES")</f>
        <v>YES</v>
      </c>
      <c r="X76" s="8"/>
      <c r="Y76" s="8"/>
      <c r="Z76" s="37" t="str">
        <f ca="1">IFERROR(__xludf.DUMMYFUNCTION("""COMPUTED_VALUE"""),"LY 5196")</f>
        <v>LY 5196</v>
      </c>
      <c r="AA76" s="37" t="str">
        <f ca="1">IFERROR(__xludf.DUMMYFUNCTION("""COMPUTED_VALUE"""),"28/10/2024")</f>
        <v>28/10/2024</v>
      </c>
      <c r="AB76" s="64">
        <f ca="1">IFERROR(__xludf.DUMMYFUNCTION("""COMPUTED_VALUE"""),0.381944444444444)</f>
        <v>0.38194444444444398</v>
      </c>
    </row>
    <row r="77" spans="1:28" ht="14.55" customHeight="1" x14ac:dyDescent="0.3">
      <c r="A77" s="8">
        <v>7</v>
      </c>
      <c r="B77" s="8"/>
      <c r="C77" s="8"/>
      <c r="D77" s="8" t="str">
        <f ca="1">IFERROR(__xludf.DUMMYFUNCTION("""COMPUTED_VALUE"""),"29/07/2024")</f>
        <v>29/07/2024</v>
      </c>
      <c r="E77" s="16" t="str">
        <f ca="1">IFERROR(__xludf.DUMMYFUNCTION("""COMPUTED_VALUE"""),"Player")</f>
        <v>Player</v>
      </c>
      <c r="F77" s="8" t="str">
        <f ca="1">IFERROR(__xludf.DUMMYFUNCTION("""COMPUTED_VALUE"""),"Greenfeld, Alon")</f>
        <v>Greenfeld, Alon</v>
      </c>
      <c r="G77" s="16" t="str">
        <f ca="1">IFERROR(__xludf.DUMMYFUNCTION("""COMPUTED_VALUE"""),"ISR")</f>
        <v>ISR</v>
      </c>
      <c r="H77" s="8"/>
      <c r="I77" s="8">
        <f ca="1">IFERROR(__xludf.DUMMYFUNCTION("""COMPUTED_VALUE"""),100)</f>
        <v>100</v>
      </c>
      <c r="J77" s="8"/>
      <c r="K77" s="8"/>
      <c r="L77" s="8" t="str">
        <f ca="1">IFERROR(__xludf.DUMMYFUNCTION("""COMPUTED_VALUE"""),"Beer Sheva Chess Club")</f>
        <v>Beer Sheva Chess Club</v>
      </c>
      <c r="M77" s="16" t="str">
        <f ca="1">IFERROR(__xludf.DUMMYFUNCTION("""COMPUTED_VALUE"""),"ISR")</f>
        <v>ISR</v>
      </c>
      <c r="N77" s="16" t="str">
        <f ca="1">IFERROR(__xludf.DUMMYFUNCTION("""COMPUTED_VALUE"""),"Fontana")</f>
        <v>Fontana</v>
      </c>
      <c r="O77" s="8"/>
      <c r="P77" s="8">
        <f ca="1">IFERROR(__xludf.DUMMYFUNCTION("""COMPUTED_VALUE"""),104)</f>
        <v>104</v>
      </c>
      <c r="Q77" s="8">
        <f ca="1">IFERROR(__xludf.DUMMYFUNCTION("""COMPUTED_VALUE"""),8)</f>
        <v>8</v>
      </c>
      <c r="R77" s="8">
        <f ca="1">IFERROR(__xludf.DUMMYFUNCTION("""COMPUTED_VALUE"""),832)</f>
        <v>832</v>
      </c>
      <c r="S77" s="8">
        <f ca="1">IFERROR(__xludf.DUMMYFUNCTION("""COMPUTED_VALUE"""),12.8)</f>
        <v>12.8</v>
      </c>
      <c r="T77" s="8">
        <f ca="1">IFERROR(__xludf.DUMMYFUNCTION("""COMPUTED_VALUE"""),844.8)</f>
        <v>844.8</v>
      </c>
      <c r="U77" s="8"/>
      <c r="V77" s="8"/>
      <c r="W77" s="8" t="str">
        <f ca="1">IFERROR(__xludf.DUMMYFUNCTION("""COMPUTED_VALUE"""),"YES")</f>
        <v>YES</v>
      </c>
      <c r="X77" s="8"/>
      <c r="Y77" s="8"/>
      <c r="Z77" s="37" t="str">
        <f ca="1">IFERROR(__xludf.DUMMYFUNCTION("""COMPUTED_VALUE"""),"LY 5196")</f>
        <v>LY 5196</v>
      </c>
      <c r="AA77" s="37" t="str">
        <f ca="1">IFERROR(__xludf.DUMMYFUNCTION("""COMPUTED_VALUE"""),"28/10/2024")</f>
        <v>28/10/2024</v>
      </c>
      <c r="AB77" s="64">
        <f ca="1">IFERROR(__xludf.DUMMYFUNCTION("""COMPUTED_VALUE"""),0.381944444444444)</f>
        <v>0.38194444444444398</v>
      </c>
    </row>
    <row r="78" spans="1:28" ht="14.55" customHeight="1" x14ac:dyDescent="0.3">
      <c r="A78" s="8">
        <v>8</v>
      </c>
      <c r="B78" s="8"/>
      <c r="C78" s="8"/>
      <c r="D78" s="8" t="str">
        <f ca="1">IFERROR(__xludf.DUMMYFUNCTION("""COMPUTED_VALUE"""),"29/07/2024")</f>
        <v>29/07/2024</v>
      </c>
      <c r="E78" s="16" t="str">
        <f ca="1">IFERROR(__xludf.DUMMYFUNCTION("""COMPUTED_VALUE"""),"Player")</f>
        <v>Player</v>
      </c>
      <c r="F78" s="8" t="str">
        <f ca="1">IFERROR(__xludf.DUMMYFUNCTION("""COMPUTED_VALUE"""),"Huzman, Alexander")</f>
        <v>Huzman, Alexander</v>
      </c>
      <c r="G78" s="16" t="str">
        <f ca="1">IFERROR(__xludf.DUMMYFUNCTION("""COMPUTED_VALUE"""),"ISR")</f>
        <v>ISR</v>
      </c>
      <c r="H78" s="8"/>
      <c r="I78" s="8">
        <f ca="1">IFERROR(__xludf.DUMMYFUNCTION("""COMPUTED_VALUE"""),100)</f>
        <v>100</v>
      </c>
      <c r="J78" s="8"/>
      <c r="K78" s="8"/>
      <c r="L78" s="8" t="str">
        <f ca="1">IFERROR(__xludf.DUMMYFUNCTION("""COMPUTED_VALUE"""),"Beer Sheva Chess Club")</f>
        <v>Beer Sheva Chess Club</v>
      </c>
      <c r="M78" s="16" t="str">
        <f ca="1">IFERROR(__xludf.DUMMYFUNCTION("""COMPUTED_VALUE"""),"ISR")</f>
        <v>ISR</v>
      </c>
      <c r="N78" s="16" t="str">
        <f ca="1">IFERROR(__xludf.DUMMYFUNCTION("""COMPUTED_VALUE"""),"Fontana")</f>
        <v>Fontana</v>
      </c>
      <c r="O78" s="8" t="str">
        <f ca="1">IFERROR(__xludf.DUMMYFUNCTION("""COMPUTED_VALUE"""),"Huzman Irina")</f>
        <v>Huzman Irina</v>
      </c>
      <c r="P78" s="8">
        <f ca="1">IFERROR(__xludf.DUMMYFUNCTION("""COMPUTED_VALUE"""),84)</f>
        <v>84</v>
      </c>
      <c r="Q78" s="8">
        <f ca="1">IFERROR(__xludf.DUMMYFUNCTION("""COMPUTED_VALUE"""),8)</f>
        <v>8</v>
      </c>
      <c r="R78" s="8">
        <f ca="1">IFERROR(__xludf.DUMMYFUNCTION("""COMPUTED_VALUE"""),672)</f>
        <v>672</v>
      </c>
      <c r="S78" s="8">
        <f ca="1">IFERROR(__xludf.DUMMYFUNCTION("""COMPUTED_VALUE"""),12.8)</f>
        <v>12.8</v>
      </c>
      <c r="T78" s="8">
        <f ca="1">IFERROR(__xludf.DUMMYFUNCTION("""COMPUTED_VALUE"""),684.8)</f>
        <v>684.8</v>
      </c>
      <c r="U78" s="8"/>
      <c r="V78" s="8"/>
      <c r="W78" s="8" t="str">
        <f ca="1">IFERROR(__xludf.DUMMYFUNCTION("""COMPUTED_VALUE"""),"YES")</f>
        <v>YES</v>
      </c>
      <c r="X78" s="8"/>
      <c r="Y78" s="8"/>
      <c r="Z78" s="37" t="str">
        <f ca="1">IFERROR(__xludf.DUMMYFUNCTION("""COMPUTED_VALUE"""),"LY 5196")</f>
        <v>LY 5196</v>
      </c>
      <c r="AA78" s="37" t="str">
        <f ca="1">IFERROR(__xludf.DUMMYFUNCTION("""COMPUTED_VALUE"""),"28/10/2024")</f>
        <v>28/10/2024</v>
      </c>
      <c r="AB78" s="64">
        <f ca="1">IFERROR(__xludf.DUMMYFUNCTION("""COMPUTED_VALUE"""),0.381944444444444)</f>
        <v>0.38194444444444398</v>
      </c>
    </row>
    <row r="79" spans="1:28" ht="14.55" customHeight="1" x14ac:dyDescent="0.3">
      <c r="A79" s="8">
        <v>9</v>
      </c>
      <c r="B79" s="8"/>
      <c r="C79" s="8"/>
      <c r="D79" s="8" t="str">
        <f ca="1">IFERROR(__xludf.DUMMYFUNCTION("""COMPUTED_VALUE"""),"29/07/2024")</f>
        <v>29/07/2024</v>
      </c>
      <c r="E79" s="16" t="str">
        <f ca="1">IFERROR(__xludf.DUMMYFUNCTION("""COMPUTED_VALUE"""),"Player")</f>
        <v>Player</v>
      </c>
      <c r="F79" s="8" t="str">
        <f ca="1">IFERROR(__xludf.DUMMYFUNCTION("""COMPUTED_VALUE"""),"David Glaz, Ilana")</f>
        <v>David Glaz, Ilana</v>
      </c>
      <c r="G79" s="16" t="str">
        <f ca="1">IFERROR(__xludf.DUMMYFUNCTION("""COMPUTED_VALUE"""),"ISR")</f>
        <v>ISR</v>
      </c>
      <c r="H79" s="8"/>
      <c r="I79" s="8">
        <f ca="1">IFERROR(__xludf.DUMMYFUNCTION("""COMPUTED_VALUE"""),100)</f>
        <v>100</v>
      </c>
      <c r="J79" s="8"/>
      <c r="K79" s="8"/>
      <c r="L79" s="8" t="str">
        <f ca="1">IFERROR(__xludf.DUMMYFUNCTION("""COMPUTED_VALUE"""),"Beer Sheva Chess Club")</f>
        <v>Beer Sheva Chess Club</v>
      </c>
      <c r="M79" s="16" t="str">
        <f ca="1">IFERROR(__xludf.DUMMYFUNCTION("""COMPUTED_VALUE"""),"ISR")</f>
        <v>ISR</v>
      </c>
      <c r="N79" s="16" t="str">
        <f ca="1">IFERROR(__xludf.DUMMYFUNCTION("""COMPUTED_VALUE"""),"Fontana")</f>
        <v>Fontana</v>
      </c>
      <c r="O79" s="8"/>
      <c r="P79" s="8">
        <f ca="1">IFERROR(__xludf.DUMMYFUNCTION("""COMPUTED_VALUE"""),104)</f>
        <v>104</v>
      </c>
      <c r="Q79" s="8">
        <f ca="1">IFERROR(__xludf.DUMMYFUNCTION("""COMPUTED_VALUE"""),8)</f>
        <v>8</v>
      </c>
      <c r="R79" s="8">
        <f ca="1">IFERROR(__xludf.DUMMYFUNCTION("""COMPUTED_VALUE"""),832)</f>
        <v>832</v>
      </c>
      <c r="S79" s="8">
        <f ca="1">IFERROR(__xludf.DUMMYFUNCTION("""COMPUTED_VALUE"""),12.8)</f>
        <v>12.8</v>
      </c>
      <c r="T79" s="8">
        <f ca="1">IFERROR(__xludf.DUMMYFUNCTION("""COMPUTED_VALUE"""),844.8)</f>
        <v>844.8</v>
      </c>
      <c r="U79" s="8"/>
      <c r="V79" s="8"/>
      <c r="W79" s="8" t="str">
        <f ca="1">IFERROR(__xludf.DUMMYFUNCTION("""COMPUTED_VALUE"""),"YES")</f>
        <v>YES</v>
      </c>
      <c r="X79" s="8"/>
      <c r="Y79" s="8"/>
      <c r="Z79" s="37" t="str">
        <f ca="1">IFERROR(__xludf.DUMMYFUNCTION("""COMPUTED_VALUE"""),"LY 5196")</f>
        <v>LY 5196</v>
      </c>
      <c r="AA79" s="37" t="str">
        <f ca="1">IFERROR(__xludf.DUMMYFUNCTION("""COMPUTED_VALUE"""),"28/10/2024")</f>
        <v>28/10/2024</v>
      </c>
      <c r="AB79" s="64">
        <f ca="1">IFERROR(__xludf.DUMMYFUNCTION("""COMPUTED_VALUE"""),0.381944444444444)</f>
        <v>0.38194444444444398</v>
      </c>
    </row>
    <row r="80" spans="1:28" ht="14.55" customHeight="1" x14ac:dyDescent="0.3">
      <c r="A80" s="8">
        <v>10</v>
      </c>
      <c r="B80" s="8"/>
      <c r="C80" s="8"/>
      <c r="D80" s="8" t="str">
        <f ca="1">IFERROR(__xludf.DUMMYFUNCTION("""COMPUTED_VALUE"""),"29/07/2024")</f>
        <v>29/07/2024</v>
      </c>
      <c r="E80" s="16" t="s">
        <v>0</v>
      </c>
      <c r="F80" s="8" t="str">
        <f ca="1">IFERROR(__xludf.DUMMYFUNCTION("""COMPUTED_VALUE"""),"Huzman, Irina")</f>
        <v>Huzman, Irina</v>
      </c>
      <c r="G80" s="16" t="str">
        <f ca="1">IFERROR(__xludf.DUMMYFUNCTION("""COMPUTED_VALUE"""),"ISR")</f>
        <v>ISR</v>
      </c>
      <c r="H80" s="8"/>
      <c r="I80" s="8">
        <f ca="1">IFERROR(__xludf.DUMMYFUNCTION("""COMPUTED_VALUE"""),100)</f>
        <v>100</v>
      </c>
      <c r="J80" s="8"/>
      <c r="K80" s="8"/>
      <c r="L80" s="8" t="str">
        <f ca="1">IFERROR(__xludf.DUMMYFUNCTION("""COMPUTED_VALUE"""),"Beer Sheva Chess Club")</f>
        <v>Beer Sheva Chess Club</v>
      </c>
      <c r="M80" s="16" t="str">
        <f ca="1">IFERROR(__xludf.DUMMYFUNCTION("""COMPUTED_VALUE"""),"ISR")</f>
        <v>ISR</v>
      </c>
      <c r="N80" s="16" t="str">
        <f ca="1">IFERROR(__xludf.DUMMYFUNCTION("""COMPUTED_VALUE"""),"Fontana")</f>
        <v>Fontana</v>
      </c>
      <c r="O80" s="8" t="str">
        <f ca="1">IFERROR(__xludf.DUMMYFUNCTION("""COMPUTED_VALUE"""),"Huzman, Alexander")</f>
        <v>Huzman, Alexander</v>
      </c>
      <c r="P80" s="8">
        <f ca="1">IFERROR(__xludf.DUMMYFUNCTION("""COMPUTED_VALUE"""),84)</f>
        <v>84</v>
      </c>
      <c r="Q80" s="8">
        <f ca="1">IFERROR(__xludf.DUMMYFUNCTION("""COMPUTED_VALUE"""),8)</f>
        <v>8</v>
      </c>
      <c r="R80" s="8">
        <f ca="1">IFERROR(__xludf.DUMMYFUNCTION("""COMPUTED_VALUE"""),672)</f>
        <v>672</v>
      </c>
      <c r="S80" s="8">
        <f ca="1">IFERROR(__xludf.DUMMYFUNCTION("""COMPUTED_VALUE"""),12.8)</f>
        <v>12.8</v>
      </c>
      <c r="T80" s="8">
        <f ca="1">IFERROR(__xludf.DUMMYFUNCTION("""COMPUTED_VALUE"""),684.8)</f>
        <v>684.8</v>
      </c>
      <c r="U80" s="8"/>
      <c r="V80" s="8"/>
      <c r="W80" s="8" t="str">
        <f ca="1">IFERROR(__xludf.DUMMYFUNCTION("""COMPUTED_VALUE"""),"YES")</f>
        <v>YES</v>
      </c>
      <c r="X80" s="8"/>
      <c r="Y80" s="8"/>
      <c r="Z80" s="37" t="str">
        <f ca="1">IFERROR(__xludf.DUMMYFUNCTION("""COMPUTED_VALUE"""),"LY 5196")</f>
        <v>LY 5196</v>
      </c>
      <c r="AA80" s="37" t="str">
        <f ca="1">IFERROR(__xludf.DUMMYFUNCTION("""COMPUTED_VALUE"""),"28/10/2024")</f>
        <v>28/10/2024</v>
      </c>
      <c r="AB80" s="64">
        <f ca="1">IFERROR(__xludf.DUMMYFUNCTION("""COMPUTED_VALUE"""),0.381944444444444)</f>
        <v>0.38194444444444398</v>
      </c>
    </row>
    <row r="81" spans="1:28" ht="14.55" customHeight="1" x14ac:dyDescent="0.3">
      <c r="A81" s="8">
        <v>11</v>
      </c>
      <c r="B81" s="8"/>
      <c r="C81" s="8"/>
      <c r="D81" s="8" t="str">
        <f ca="1">IFERROR(__xludf.DUMMYFUNCTION("""COMPUTED_VALUE"""),"28/08/2024")</f>
        <v>28/08/2024</v>
      </c>
      <c r="E81" s="16" t="str">
        <f ca="1">IFERROR(__xludf.DUMMYFUNCTION("""COMPUTED_VALUE"""),"Player")</f>
        <v>Player</v>
      </c>
      <c r="F81" s="8" t="str">
        <f ca="1">IFERROR(__xludf.DUMMYFUNCTION("""COMPUTED_VALUE"""),"Efroimski, Marsel")</f>
        <v>Efroimski, Marsel</v>
      </c>
      <c r="G81" s="8" t="str">
        <f ca="1">IFERROR(__xludf.DUMMYFUNCTION("""COMPUTED_VALUE"""),"ISR")</f>
        <v>ISR</v>
      </c>
      <c r="H81" s="8"/>
      <c r="I81" s="8">
        <f ca="1">IFERROR(__xludf.DUMMYFUNCTION("""COMPUTED_VALUE"""),100)</f>
        <v>100</v>
      </c>
      <c r="J81" s="8"/>
      <c r="K81" s="8"/>
      <c r="L81" s="8" t="str">
        <f ca="1">IFERROR(__xludf.DUMMYFUNCTION("""COMPUTED_VALUE"""),"SuperChess")</f>
        <v>SuperChess</v>
      </c>
      <c r="M81" s="8" t="str">
        <f ca="1">IFERROR(__xludf.DUMMYFUNCTION("""COMPUTED_VALUE"""),"ROU")</f>
        <v>ROU</v>
      </c>
      <c r="N81" s="16" t="str">
        <f ca="1">IFERROR(__xludf.DUMMYFUNCTION("""COMPUTED_VALUE"""),"Kocka")</f>
        <v>Kocka</v>
      </c>
      <c r="O81" s="8" t="str">
        <f ca="1">IFERROR(__xludf.DUMMYFUNCTION("""COMPUTED_VALUE"""),"Single")</f>
        <v>Single</v>
      </c>
      <c r="P81" s="8"/>
      <c r="Q81" s="8">
        <f ca="1">IFERROR(__xludf.DUMMYFUNCTION("""COMPUTED_VALUE"""),8)</f>
        <v>8</v>
      </c>
      <c r="R81" s="8">
        <f ca="1">IFERROR(__xludf.DUMMYFUNCTION("""COMPUTED_VALUE"""),832)</f>
        <v>832</v>
      </c>
      <c r="S81" s="8">
        <f ca="1">IFERROR(__xludf.DUMMYFUNCTION("""COMPUTED_VALUE"""),12.8)</f>
        <v>12.8</v>
      </c>
      <c r="T81" s="8">
        <f ca="1">IFERROR(__xludf.DUMMYFUNCTION("""COMPUTED_VALUE"""),844.8)</f>
        <v>844.8</v>
      </c>
      <c r="U81" s="8"/>
      <c r="V81" s="8"/>
      <c r="W81" s="8"/>
      <c r="X81" s="8"/>
      <c r="Y81" s="8"/>
      <c r="Z81" s="37" t="str">
        <f ca="1">IFERROR(__xludf.DUMMYFUNCTION("""COMPUTED_VALUE"""),"LY5196")</f>
        <v>LY5196</v>
      </c>
      <c r="AA81" s="37" t="str">
        <f ca="1">IFERROR(__xludf.DUMMYFUNCTION("""COMPUTED_VALUE"""),"28/10/2024")</f>
        <v>28/10/2024</v>
      </c>
      <c r="AB81" s="64">
        <f ca="1">IFERROR(__xludf.DUMMYFUNCTION("""COMPUTED_VALUE"""),0.381944444444444)</f>
        <v>0.38194444444444398</v>
      </c>
    </row>
    <row r="82" spans="1:28" ht="14.55" customHeight="1" x14ac:dyDescent="0.3">
      <c r="A82" s="8">
        <v>12</v>
      </c>
      <c r="B82" s="8"/>
      <c r="C82" s="8"/>
      <c r="D82" s="8" t="str">
        <f ca="1">IFERROR(__xludf.DUMMYFUNCTION("""COMPUTED_VALUE"""),"29/07/2024")</f>
        <v>29/07/2024</v>
      </c>
      <c r="E82" s="16" t="str">
        <f ca="1">IFERROR(__xludf.DUMMYFUNCTION("""COMPUTED_VALUE"""),"Player")</f>
        <v>Player</v>
      </c>
      <c r="F82" s="8" t="str">
        <f ca="1">IFERROR(__xludf.DUMMYFUNCTION("""COMPUTED_VALUE"""),"Smirin, Ilia")</f>
        <v>Smirin, Ilia</v>
      </c>
      <c r="G82" s="16" t="str">
        <f ca="1">IFERROR(__xludf.DUMMYFUNCTION("""COMPUTED_VALUE"""),"ISR")</f>
        <v>ISR</v>
      </c>
      <c r="H82" s="8"/>
      <c r="I82" s="8">
        <f ca="1">IFERROR(__xludf.DUMMYFUNCTION("""COMPUTED_VALUE"""),100)</f>
        <v>100</v>
      </c>
      <c r="J82" s="8"/>
      <c r="K82" s="8"/>
      <c r="L82" s="8" t="str">
        <f ca="1">IFERROR(__xludf.DUMMYFUNCTION("""COMPUTED_VALUE"""),"Perfect")</f>
        <v>Perfect</v>
      </c>
      <c r="M82" s="16" t="str">
        <f ca="1">IFERROR(__xludf.DUMMYFUNCTION("""COMPUTED_VALUE"""),"MDA")</f>
        <v>MDA</v>
      </c>
      <c r="N82" s="16" t="str">
        <f ca="1">IFERROR(__xludf.DUMMYFUNCTION("""COMPUTED_VALUE"""),"Fontana")</f>
        <v>Fontana</v>
      </c>
      <c r="O82" s="8"/>
      <c r="P82" s="8">
        <f ca="1">IFERROR(__xludf.DUMMYFUNCTION("""COMPUTED_VALUE"""),104)</f>
        <v>104</v>
      </c>
      <c r="Q82" s="8">
        <f ca="1">IFERROR(__xludf.DUMMYFUNCTION("""COMPUTED_VALUE"""),8)</f>
        <v>8</v>
      </c>
      <c r="R82" s="8">
        <f ca="1">IFERROR(__xludf.DUMMYFUNCTION("""COMPUTED_VALUE"""),832)</f>
        <v>832</v>
      </c>
      <c r="S82" s="8">
        <f ca="1">IFERROR(__xludf.DUMMYFUNCTION("""COMPUTED_VALUE"""),12.8)</f>
        <v>12.8</v>
      </c>
      <c r="T82" s="8">
        <f ca="1">IFERROR(__xludf.DUMMYFUNCTION("""COMPUTED_VALUE"""),844.8)</f>
        <v>844.8</v>
      </c>
      <c r="U82" s="8"/>
      <c r="V82" s="8"/>
      <c r="W82" s="8"/>
      <c r="X82" s="8"/>
      <c r="Y82" s="8"/>
      <c r="Z82" s="37" t="s">
        <v>1</v>
      </c>
      <c r="AA82" s="37" t="s">
        <v>54</v>
      </c>
      <c r="AB82" s="64">
        <v>0.3923611111111111</v>
      </c>
    </row>
    <row r="83" spans="1:28" ht="14.55" customHeight="1" x14ac:dyDescent="0.3">
      <c r="A83" s="8">
        <v>13</v>
      </c>
      <c r="B83" s="8"/>
      <c r="C83" s="8"/>
      <c r="D83" s="13">
        <f ca="1">IFERROR(__xludf.DUMMYFUNCTION("""COMPUTED_VALUE"""),45543)</f>
        <v>45543</v>
      </c>
      <c r="E83" s="16" t="str">
        <f ca="1">IFERROR(__xludf.DUMMYFUNCTION("""COMPUTED_VALUE"""),"Player")</f>
        <v>Player</v>
      </c>
      <c r="F83" s="8" t="str">
        <f ca="1">IFERROR(__xludf.DUMMYFUNCTION("""COMPUTED_VALUE"""),"Bates, Richard A")</f>
        <v>Bates, Richard A</v>
      </c>
      <c r="G83" s="16" t="str">
        <f ca="1">IFERROR(__xludf.DUMMYFUNCTION("""COMPUTED_VALUE"""),"ENG")</f>
        <v>ENG</v>
      </c>
      <c r="H83" s="8"/>
      <c r="I83" s="8">
        <f ca="1">IFERROR(__xludf.DUMMYFUNCTION("""COMPUTED_VALUE"""),100)</f>
        <v>100</v>
      </c>
      <c r="J83" s="8"/>
      <c r="K83" s="8"/>
      <c r="L83" s="8" t="str">
        <f ca="1">IFERROR(__xludf.DUMMYFUNCTION("""COMPUTED_VALUE"""),"Blackthorne")</f>
        <v>Blackthorne</v>
      </c>
      <c r="M83" s="16" t="str">
        <f ca="1">IFERROR(__xludf.DUMMYFUNCTION("""COMPUTED_VALUE"""),"ENG")</f>
        <v>ENG</v>
      </c>
      <c r="N83" s="16" t="str">
        <f ca="1">IFERROR(__xludf.DUMMYFUNCTION("""COMPUTED_VALUE"""),"Breza")</f>
        <v>Breza</v>
      </c>
      <c r="O83" s="8"/>
      <c r="P83" s="8">
        <f ca="1">IFERROR(__xludf.DUMMYFUNCTION("""COMPUTED_VALUE"""),82)</f>
        <v>82</v>
      </c>
      <c r="Q83" s="8">
        <f ca="1">IFERROR(__xludf.DUMMYFUNCTION("""COMPUTED_VALUE"""),8)</f>
        <v>8</v>
      </c>
      <c r="R83" s="8">
        <f ca="1">IFERROR(__xludf.DUMMYFUNCTION("""COMPUTED_VALUE"""),656)</f>
        <v>656</v>
      </c>
      <c r="S83" s="8">
        <f ca="1">IFERROR(__xludf.DUMMYFUNCTION("""COMPUTED_VALUE"""),12.8)</f>
        <v>12.8</v>
      </c>
      <c r="T83" s="8">
        <f ca="1">IFERROR(__xludf.DUMMYFUNCTION("""COMPUTED_VALUE"""),668.8)</f>
        <v>668.8</v>
      </c>
      <c r="U83" s="8"/>
      <c r="V83" s="8"/>
      <c r="W83" s="8"/>
      <c r="X83" s="8"/>
      <c r="Y83" s="8"/>
      <c r="Z83" s="70" t="str">
        <f ca="1">IFERROR(__xludf.DUMMYFUNCTION("""COMPUTED_VALUE"""),"JU210")</f>
        <v>JU210</v>
      </c>
      <c r="AA83" s="37" t="str">
        <f ca="1">IFERROR(__xludf.DUMMYFUNCTION("""COMPUTED_VALUE"""),"27/10/2024")</f>
        <v>27/10/2024</v>
      </c>
      <c r="AB83" s="59">
        <f ca="1">IFERROR(__xludf.DUMMYFUNCTION("""COMPUTED_VALUE"""),0.430555555555555)</f>
        <v>0.43055555555555503</v>
      </c>
    </row>
    <row r="84" spans="1:28" ht="14.55" customHeight="1" x14ac:dyDescent="0.3">
      <c r="A84" s="8">
        <v>14</v>
      </c>
      <c r="B84" s="8"/>
      <c r="C84" s="8"/>
      <c r="D84" s="8" t="str">
        <f ca="1">IFERROR(__xludf.DUMMYFUNCTION("""COMPUTED_VALUE"""),"20/07/2024")</f>
        <v>20/07/2024</v>
      </c>
      <c r="E84" s="16" t="str">
        <f ca="1">IFERROR(__xludf.DUMMYFUNCTION("""COMPUTED_VALUE"""),"Player")</f>
        <v>Player</v>
      </c>
      <c r="F84" s="8" t="str">
        <f ca="1">IFERROR(__xludf.DUMMYFUNCTION("""COMPUTED_VALUE"""),"Culbeaux Tello, Oscar Abraham")</f>
        <v>Culbeaux Tello, Oscar Abraham</v>
      </c>
      <c r="G84" s="16" t="str">
        <f ca="1">IFERROR(__xludf.DUMMYFUNCTION("""COMPUTED_VALUE"""),"MEX")</f>
        <v>MEX</v>
      </c>
      <c r="H84" s="8"/>
      <c r="I84" s="8">
        <f ca="1">IFERROR(__xludf.DUMMYFUNCTION("""COMPUTED_VALUE"""),100)</f>
        <v>100</v>
      </c>
      <c r="J84" s="8"/>
      <c r="K84" s="8"/>
      <c r="L84" s="8" t="str">
        <f ca="1">IFERROR(__xludf.DUMMYFUNCTION("""COMPUTED_VALUE"""),"Ennis Chess Club")</f>
        <v>Ennis Chess Club</v>
      </c>
      <c r="M84" s="16" t="str">
        <f ca="1">IFERROR(__xludf.DUMMYFUNCTION("""COMPUTED_VALUE"""),"IRL")</f>
        <v>IRL</v>
      </c>
      <c r="N84" s="16" t="str">
        <f ca="1">IFERROR(__xludf.DUMMYFUNCTION("""COMPUTED_VALUE"""),"Zepter")</f>
        <v>Zepter</v>
      </c>
      <c r="O84" s="8"/>
      <c r="P84" s="8">
        <f ca="1">IFERROR(__xludf.DUMMYFUNCTION("""COMPUTED_VALUE"""),104)</f>
        <v>104</v>
      </c>
      <c r="Q84" s="8">
        <f ca="1">IFERROR(__xludf.DUMMYFUNCTION("""COMPUTED_VALUE"""),9)</f>
        <v>9</v>
      </c>
      <c r="R84" s="8">
        <f ca="1">IFERROR(__xludf.DUMMYFUNCTION("""COMPUTED_VALUE"""),936)</f>
        <v>936</v>
      </c>
      <c r="S84" s="8">
        <f ca="1">IFERROR(__xludf.DUMMYFUNCTION("""COMPUTED_VALUE"""),14.4)</f>
        <v>14.4</v>
      </c>
      <c r="T84" s="8">
        <f ca="1">IFERROR(__xludf.DUMMYFUNCTION("""COMPUTED_VALUE"""),950.4)</f>
        <v>950.4</v>
      </c>
      <c r="U84" s="8"/>
      <c r="V84" s="8"/>
      <c r="W84" s="8"/>
      <c r="X84" s="8"/>
      <c r="Y84" s="8"/>
      <c r="Z84" s="70" t="str">
        <f ca="1">IFERROR(__xludf.DUMMYFUNCTION("""COMPUTED_VALUE"""),"JU210")</f>
        <v>JU210</v>
      </c>
      <c r="AA84" s="37" t="str">
        <f ca="1">IFERROR(__xludf.DUMMYFUNCTION("""COMPUTED_VALUE"""),"27/10/2024")</f>
        <v>27/10/2024</v>
      </c>
      <c r="AB84" s="59">
        <f ca="1">IFERROR(__xludf.DUMMYFUNCTION("""COMPUTED_VALUE"""),0.430555555555555)</f>
        <v>0.43055555555555503</v>
      </c>
    </row>
    <row r="85" spans="1:28" ht="14.55" customHeight="1" x14ac:dyDescent="0.3">
      <c r="A85" s="8">
        <v>15</v>
      </c>
      <c r="B85" s="8"/>
      <c r="C85" s="8"/>
      <c r="D85" s="8" t="str">
        <f ca="1">IFERROR(__xludf.DUMMYFUNCTION("""COMPUTED_VALUE"""),"18/08/2024")</f>
        <v>18/08/2024</v>
      </c>
      <c r="E85" s="16" t="str">
        <f ca="1">IFERROR(__xludf.DUMMYFUNCTION("""COMPUTED_VALUE"""),"Player")</f>
        <v>Player</v>
      </c>
      <c r="F85" s="8" t="str">
        <f ca="1">IFERROR(__xludf.DUMMYFUNCTION("""COMPUTED_VALUE"""),"Menzies, Colin")</f>
        <v>Menzies, Colin</v>
      </c>
      <c r="G85" s="16" t="str">
        <f ca="1">IFERROR(__xludf.DUMMYFUNCTION("""COMPUTED_VALUE"""),"IRL")</f>
        <v>IRL</v>
      </c>
      <c r="H85" s="8"/>
      <c r="I85" s="8">
        <f ca="1">IFERROR(__xludf.DUMMYFUNCTION("""COMPUTED_VALUE"""),100)</f>
        <v>100</v>
      </c>
      <c r="J85" s="8"/>
      <c r="K85" s="8"/>
      <c r="L85" s="8" t="str">
        <f ca="1">IFERROR(__xludf.DUMMYFUNCTION("""COMPUTED_VALUE"""),"Gonzaga")</f>
        <v>Gonzaga</v>
      </c>
      <c r="M85" s="16" t="str">
        <f ca="1">IFERROR(__xludf.DUMMYFUNCTION("""COMPUTED_VALUE"""),"IRL")</f>
        <v>IRL</v>
      </c>
      <c r="N85" s="16" t="str">
        <f ca="1">IFERROR(__xludf.DUMMYFUNCTION("""COMPUTED_VALUE"""),"Fontana")</f>
        <v>Fontana</v>
      </c>
      <c r="O85" s="8"/>
      <c r="P85" s="8"/>
      <c r="Q85" s="8">
        <f ca="1">IFERROR(__xludf.DUMMYFUNCTION("""COMPUTED_VALUE"""),8)</f>
        <v>8</v>
      </c>
      <c r="R85" s="8">
        <f ca="1">IFERROR(__xludf.DUMMYFUNCTION("""COMPUTED_VALUE"""),0)</f>
        <v>0</v>
      </c>
      <c r="S85" s="8">
        <f ca="1">IFERROR(__xludf.DUMMYFUNCTION("""COMPUTED_VALUE"""),12.8)</f>
        <v>12.8</v>
      </c>
      <c r="T85" s="8">
        <f ca="1">IFERROR(__xludf.DUMMYFUNCTION("""COMPUTED_VALUE"""),12.8)</f>
        <v>12.8</v>
      </c>
      <c r="U85" s="8"/>
      <c r="V85" s="8"/>
      <c r="W85" s="8"/>
      <c r="X85" s="8"/>
      <c r="Y85" s="8"/>
      <c r="Z85" s="70" t="str">
        <f ca="1">IFERROR(__xludf.DUMMYFUNCTION("""COMPUTED_VALUE"""),"JU210")</f>
        <v>JU210</v>
      </c>
      <c r="AA85" s="37" t="str">
        <f ca="1">IFERROR(__xludf.DUMMYFUNCTION("""COMPUTED_VALUE"""),"27/10/2024")</f>
        <v>27/10/2024</v>
      </c>
      <c r="AB85" s="59">
        <f ca="1">IFERROR(__xludf.DUMMYFUNCTION("""COMPUTED_VALUE"""),0.430555555555555)</f>
        <v>0.43055555555555503</v>
      </c>
    </row>
    <row r="86" spans="1:28" ht="14.55" customHeight="1" x14ac:dyDescent="0.3">
      <c r="A86" s="8">
        <v>16</v>
      </c>
      <c r="B86" s="8"/>
      <c r="C86" s="8"/>
      <c r="D86" s="8" t="str">
        <f ca="1">IFERROR(__xludf.DUMMYFUNCTION("""COMPUTED_VALUE"""),"14/08/2024")</f>
        <v>14/08/2024</v>
      </c>
      <c r="E86" s="16" t="str">
        <f ca="1">IFERROR(__xludf.DUMMYFUNCTION("""COMPUTED_VALUE"""),"Player")</f>
        <v>Player</v>
      </c>
      <c r="F86" s="8" t="str">
        <f ca="1">IFERROR(__xludf.DUMMYFUNCTION("""COMPUTED_VALUE"""),"Varney, Zoe")</f>
        <v>Varney, Zoe</v>
      </c>
      <c r="G86" s="8" t="str">
        <f ca="1">IFERROR(__xludf.DUMMYFUNCTION("""COMPUTED_VALUE"""),"ENG")</f>
        <v>ENG</v>
      </c>
      <c r="H86" s="8"/>
      <c r="I86" s="8">
        <f ca="1">IFERROR(__xludf.DUMMYFUNCTION("""COMPUTED_VALUE"""),100)</f>
        <v>100</v>
      </c>
      <c r="J86" s="8"/>
      <c r="K86" s="8"/>
      <c r="L86" s="8" t="s">
        <v>3</v>
      </c>
      <c r="M86" s="8" t="str">
        <f ca="1">IFERROR(__xludf.DUMMYFUNCTION("""COMPUTED_VALUE"""),"ENG")</f>
        <v>ENG</v>
      </c>
      <c r="N86" s="16" t="str">
        <f ca="1">IFERROR(__xludf.DUMMYFUNCTION("""COMPUTED_VALUE"""),"Fontana")</f>
        <v>Fontana</v>
      </c>
      <c r="O86" s="43" t="str">
        <f ca="1">IFERROR(__xludf.DUMMYFUNCTION("""COMPUTED_VALUE"""),"Single")</f>
        <v>Single</v>
      </c>
      <c r="P86" s="8"/>
      <c r="Q86" s="8">
        <f ca="1">IFERROR(__xludf.DUMMYFUNCTION("""COMPUTED_VALUE"""),8)</f>
        <v>8</v>
      </c>
      <c r="R86" s="8">
        <f ca="1">IFERROR(__xludf.DUMMYFUNCTION("""COMPUTED_VALUE"""),832)</f>
        <v>832</v>
      </c>
      <c r="S86" s="8">
        <f ca="1">IFERROR(__xludf.DUMMYFUNCTION("""COMPUTED_VALUE"""),12.8)</f>
        <v>12.8</v>
      </c>
      <c r="T86" s="8">
        <f ca="1">IFERROR(__xludf.DUMMYFUNCTION("""COMPUTED_VALUE"""),844.8)</f>
        <v>844.8</v>
      </c>
      <c r="U86" s="8"/>
      <c r="V86" s="8"/>
      <c r="W86" s="8"/>
      <c r="X86" s="8"/>
      <c r="Y86" s="8"/>
      <c r="Z86" s="37" t="str">
        <f ca="1">IFERROR(__xludf.DUMMYFUNCTION("""COMPUTED_VALUE"""),"JU210")</f>
        <v>JU210</v>
      </c>
      <c r="AA86" s="37" t="str">
        <f ca="1">IFERROR(__xludf.DUMMYFUNCTION("""COMPUTED_VALUE"""),"27/10/2024")</f>
        <v>27/10/2024</v>
      </c>
      <c r="AB86" s="64">
        <f ca="1">IFERROR(__xludf.DUMMYFUNCTION("""COMPUTED_VALUE"""),0.430555555555555)</f>
        <v>0.43055555555555503</v>
      </c>
    </row>
    <row r="87" spans="1:28" ht="14.55" customHeight="1" x14ac:dyDescent="0.3">
      <c r="A87" s="8">
        <v>17</v>
      </c>
      <c r="B87" s="8"/>
      <c r="C87" s="8"/>
      <c r="D87" s="8" t="str">
        <f ca="1">IFERROR(__xludf.DUMMYFUNCTION("""COMPUTED_VALUE"""),"14/08/2024")</f>
        <v>14/08/2024</v>
      </c>
      <c r="E87" s="16" t="str">
        <f ca="1">IFERROR(__xludf.DUMMYFUNCTION("""COMPUTED_VALUE"""),"Player")</f>
        <v>Player</v>
      </c>
      <c r="F87" s="8" t="str">
        <f ca="1">IFERROR(__xludf.DUMMYFUNCTION("""COMPUTED_VALUE"""),"Rida, Ruqayyah")</f>
        <v>Rida, Ruqayyah</v>
      </c>
      <c r="G87" s="8" t="str">
        <f ca="1">IFERROR(__xludf.DUMMYFUNCTION("""COMPUTED_VALUE"""),"ENG")</f>
        <v>ENG</v>
      </c>
      <c r="H87" s="8"/>
      <c r="I87" s="8">
        <f ca="1">IFERROR(__xludf.DUMMYFUNCTION("""COMPUTED_VALUE"""),100)</f>
        <v>100</v>
      </c>
      <c r="J87" s="8"/>
      <c r="K87" s="8"/>
      <c r="L87" s="8" t="s">
        <v>3</v>
      </c>
      <c r="M87" s="8" t="str">
        <f ca="1">IFERROR(__xludf.DUMMYFUNCTION("""COMPUTED_VALUE"""),"ENG")</f>
        <v>ENG</v>
      </c>
      <c r="N87" s="16" t="str">
        <f ca="1">IFERROR(__xludf.DUMMYFUNCTION("""COMPUTED_VALUE"""),"Fontana")</f>
        <v>Fontana</v>
      </c>
      <c r="O87" s="43" t="str">
        <f ca="1">IFERROR(__xludf.DUMMYFUNCTION("""COMPUTED_VALUE"""),"Double")</f>
        <v>Double</v>
      </c>
      <c r="P87" s="8" t="str">
        <f ca="1">IFERROR(__xludf.DUMMYFUNCTION("""COMPUTED_VALUE"""),"Mohammad Rezaul Islam")</f>
        <v>Mohammad Rezaul Islam</v>
      </c>
      <c r="Q87" s="8">
        <f ca="1">IFERROR(__xludf.DUMMYFUNCTION("""COMPUTED_VALUE"""),8)</f>
        <v>8</v>
      </c>
      <c r="R87" s="8">
        <f ca="1">IFERROR(__xludf.DUMMYFUNCTION("""COMPUTED_VALUE"""),672)</f>
        <v>672</v>
      </c>
      <c r="S87" s="8">
        <f ca="1">IFERROR(__xludf.DUMMYFUNCTION("""COMPUTED_VALUE"""),12.8)</f>
        <v>12.8</v>
      </c>
      <c r="T87" s="8">
        <f ca="1">IFERROR(__xludf.DUMMYFUNCTION("""COMPUTED_VALUE"""),684.8)</f>
        <v>684.8</v>
      </c>
      <c r="U87" s="8"/>
      <c r="V87" s="8"/>
      <c r="W87" s="8"/>
      <c r="X87" s="8" t="str">
        <f ca="1">IFERROR(__xludf.DUMMYFUNCTION("""COMPUTED_VALUE"""),"Odvojeni kreveti / twin")</f>
        <v>Odvojeni kreveti / twin</v>
      </c>
      <c r="Y87" s="8"/>
      <c r="Z87" s="37" t="str">
        <f ca="1">IFERROR(__xludf.DUMMYFUNCTION("""COMPUTED_VALUE"""),"JU210")</f>
        <v>JU210</v>
      </c>
      <c r="AA87" s="37" t="str">
        <f ca="1">IFERROR(__xludf.DUMMYFUNCTION("""COMPUTED_VALUE"""),"27/10/2024")</f>
        <v>27/10/2024</v>
      </c>
      <c r="AB87" s="64">
        <f ca="1">IFERROR(__xludf.DUMMYFUNCTION("""COMPUTED_VALUE"""),0.430555555555555)</f>
        <v>0.43055555555555503</v>
      </c>
    </row>
    <row r="88" spans="1:28" ht="14.55" customHeight="1" x14ac:dyDescent="0.3">
      <c r="A88" s="8">
        <v>18</v>
      </c>
      <c r="B88" s="8"/>
      <c r="C88" s="8"/>
      <c r="D88" s="8" t="str">
        <f ca="1">IFERROR(__xludf.DUMMYFUNCTION("""COMPUTED_VALUE"""),"14/08/2024")</f>
        <v>14/08/2024</v>
      </c>
      <c r="E88" s="16" t="s">
        <v>0</v>
      </c>
      <c r="F88" s="8" t="str">
        <f ca="1">IFERROR(__xludf.DUMMYFUNCTION("""COMPUTED_VALUE"""),"D`Costa, Lorin")</f>
        <v>D`Costa, Lorin</v>
      </c>
      <c r="G88" s="8" t="str">
        <f ca="1">IFERROR(__xludf.DUMMYFUNCTION("""COMPUTED_VALUE"""),"ENG")</f>
        <v>ENG</v>
      </c>
      <c r="H88" s="8"/>
      <c r="I88" s="8">
        <f ca="1">IFERROR(__xludf.DUMMYFUNCTION("""COMPUTED_VALUE"""),100)</f>
        <v>100</v>
      </c>
      <c r="J88" s="8"/>
      <c r="K88" s="8"/>
      <c r="L88" s="8" t="s">
        <v>3</v>
      </c>
      <c r="M88" s="8" t="str">
        <f ca="1">IFERROR(__xludf.DUMMYFUNCTION("""COMPUTED_VALUE"""),"ENG")</f>
        <v>ENG</v>
      </c>
      <c r="N88" s="16" t="str">
        <f ca="1">IFERROR(__xludf.DUMMYFUNCTION("""COMPUTED_VALUE"""),"Fontana")</f>
        <v>Fontana</v>
      </c>
      <c r="O88" s="43" t="str">
        <f ca="1">IFERROR(__xludf.DUMMYFUNCTION("""COMPUTED_VALUE"""),"Single")</f>
        <v>Single</v>
      </c>
      <c r="P88" s="8"/>
      <c r="Q88" s="8">
        <f ca="1">IFERROR(__xludf.DUMMYFUNCTION("""COMPUTED_VALUE"""),8)</f>
        <v>8</v>
      </c>
      <c r="R88" s="8">
        <f ca="1">IFERROR(__xludf.DUMMYFUNCTION("""COMPUTED_VALUE"""),832)</f>
        <v>832</v>
      </c>
      <c r="S88" s="8">
        <f ca="1">IFERROR(__xludf.DUMMYFUNCTION("""COMPUTED_VALUE"""),12.8)</f>
        <v>12.8</v>
      </c>
      <c r="T88" s="8">
        <f ca="1">IFERROR(__xludf.DUMMYFUNCTION("""COMPUTED_VALUE"""),844.8)</f>
        <v>844.8</v>
      </c>
      <c r="U88" s="8"/>
      <c r="V88" s="8"/>
      <c r="W88" s="8"/>
      <c r="X88" s="8"/>
      <c r="Y88" s="8"/>
      <c r="Z88" s="37" t="str">
        <f ca="1">IFERROR(__xludf.DUMMYFUNCTION("""COMPUTED_VALUE"""),"JU210")</f>
        <v>JU210</v>
      </c>
      <c r="AA88" s="37" t="str">
        <f ca="1">IFERROR(__xludf.DUMMYFUNCTION("""COMPUTED_VALUE"""),"27/10/2024")</f>
        <v>27/10/2024</v>
      </c>
      <c r="AB88" s="64">
        <f ca="1">IFERROR(__xludf.DUMMYFUNCTION("""COMPUTED_VALUE"""),0.430555555555555)</f>
        <v>0.43055555555555503</v>
      </c>
    </row>
    <row r="89" spans="1:28" ht="14.55" customHeight="1" x14ac:dyDescent="0.3">
      <c r="A89" s="8">
        <v>19</v>
      </c>
      <c r="B89" s="8"/>
      <c r="C89" s="8"/>
      <c r="D89" s="8" t="str">
        <f ca="1">IFERROR(__xludf.DUMMYFUNCTION("""COMPUTED_VALUE"""),"14/08/2024")</f>
        <v>14/08/2024</v>
      </c>
      <c r="E89" s="16" t="s">
        <v>0</v>
      </c>
      <c r="F89" s="8" t="str">
        <f ca="1">IFERROR(__xludf.DUMMYFUNCTION("""COMPUTED_VALUE"""),"Islam, Mohammad Rezaul")</f>
        <v>Islam, Mohammad Rezaul</v>
      </c>
      <c r="G89" s="8" t="str">
        <f ca="1">IFERROR(__xludf.DUMMYFUNCTION("""COMPUTED_VALUE"""),"ENG")</f>
        <v>ENG</v>
      </c>
      <c r="H89" s="8"/>
      <c r="I89" s="8">
        <f ca="1">IFERROR(__xludf.DUMMYFUNCTION("""COMPUTED_VALUE"""),100)</f>
        <v>100</v>
      </c>
      <c r="J89" s="8"/>
      <c r="K89" s="8"/>
      <c r="L89" s="8" t="s">
        <v>3</v>
      </c>
      <c r="M89" s="8" t="str">
        <f ca="1">IFERROR(__xludf.DUMMYFUNCTION("""COMPUTED_VALUE"""),"ENG")</f>
        <v>ENG</v>
      </c>
      <c r="N89" s="16" t="str">
        <f ca="1">IFERROR(__xludf.DUMMYFUNCTION("""COMPUTED_VALUE"""),"Fontana")</f>
        <v>Fontana</v>
      </c>
      <c r="O89" s="43" t="str">
        <f ca="1">IFERROR(__xludf.DUMMYFUNCTION("""COMPUTED_VALUE"""),"Double")</f>
        <v>Double</v>
      </c>
      <c r="P89" s="8" t="str">
        <f ca="1">IFERROR(__xludf.DUMMYFUNCTION("""COMPUTED_VALUE"""),"Ruqayyah Rida")</f>
        <v>Ruqayyah Rida</v>
      </c>
      <c r="Q89" s="8">
        <f ca="1">IFERROR(__xludf.DUMMYFUNCTION("""COMPUTED_VALUE"""),8)</f>
        <v>8</v>
      </c>
      <c r="R89" s="8">
        <f ca="1">IFERROR(__xludf.DUMMYFUNCTION("""COMPUTED_VALUE"""),672)</f>
        <v>672</v>
      </c>
      <c r="S89" s="8">
        <f ca="1">IFERROR(__xludf.DUMMYFUNCTION("""COMPUTED_VALUE"""),12.8)</f>
        <v>12.8</v>
      </c>
      <c r="T89" s="8">
        <f ca="1">IFERROR(__xludf.DUMMYFUNCTION("""COMPUTED_VALUE"""),684.8)</f>
        <v>684.8</v>
      </c>
      <c r="U89" s="8"/>
      <c r="V89" s="8"/>
      <c r="W89" s="8"/>
      <c r="X89" s="8" t="str">
        <f ca="1">IFERROR(__xludf.DUMMYFUNCTION("""COMPUTED_VALUE"""),"Odvojeni kreveti / twin")</f>
        <v>Odvojeni kreveti / twin</v>
      </c>
      <c r="Y89" s="8"/>
      <c r="Z89" s="37" t="str">
        <f ca="1">IFERROR(__xludf.DUMMYFUNCTION("""COMPUTED_VALUE"""),"JU210")</f>
        <v>JU210</v>
      </c>
      <c r="AA89" s="37" t="str">
        <f ca="1">IFERROR(__xludf.DUMMYFUNCTION("""COMPUTED_VALUE"""),"27/10/2024")</f>
        <v>27/10/2024</v>
      </c>
      <c r="AB89" s="64">
        <f ca="1">IFERROR(__xludf.DUMMYFUNCTION("""COMPUTED_VALUE"""),0.430555555555555)</f>
        <v>0.43055555555555503</v>
      </c>
    </row>
    <row r="90" spans="1:28" ht="14.55" customHeight="1" x14ac:dyDescent="0.3">
      <c r="A90" s="8">
        <v>20</v>
      </c>
      <c r="B90" s="8"/>
      <c r="C90" s="8"/>
      <c r="D90" s="8" t="str">
        <f ca="1">IFERROR(__xludf.DUMMYFUNCTION("""COMPUTED_VALUE"""),"15/08/2024")</f>
        <v>15/08/2024</v>
      </c>
      <c r="E90" s="16" t="str">
        <f ca="1">IFERROR(__xludf.DUMMYFUNCTION("""COMPUTED_VALUE"""),"Player")</f>
        <v>Player</v>
      </c>
      <c r="F90" s="8" t="str">
        <f ca="1">IFERROR(__xludf.DUMMYFUNCTION("""COMPUTED_VALUE"""),"Lievens, Karel")</f>
        <v>Lievens, Karel</v>
      </c>
      <c r="G90" s="16" t="str">
        <f ca="1">IFERROR(__xludf.DUMMYFUNCTION("""COMPUTED_VALUE"""),"IRL")</f>
        <v>IRL</v>
      </c>
      <c r="H90" s="8"/>
      <c r="I90" s="8">
        <f ca="1">IFERROR(__xludf.DUMMYFUNCTION("""COMPUTED_VALUE"""),100)</f>
        <v>100</v>
      </c>
      <c r="J90" s="8"/>
      <c r="K90" s="8"/>
      <c r="L90" s="8" t="str">
        <f ca="1">IFERROR(__xludf.DUMMYFUNCTION("""COMPUTED_VALUE"""),"St Benildus")</f>
        <v>St Benildus</v>
      </c>
      <c r="M90" s="16" t="str">
        <f ca="1">IFERROR(__xludf.DUMMYFUNCTION("""COMPUTED_VALUE"""),"IRL")</f>
        <v>IRL</v>
      </c>
      <c r="N90" s="16" t="str">
        <f ca="1">IFERROR(__xludf.DUMMYFUNCTION("""COMPUTED_VALUE"""),"Fontana")</f>
        <v>Fontana</v>
      </c>
      <c r="O90" s="8"/>
      <c r="P90" s="8">
        <f ca="1">IFERROR(__xludf.DUMMYFUNCTION("""COMPUTED_VALUE"""),104)</f>
        <v>104</v>
      </c>
      <c r="Q90" s="8">
        <f ca="1">IFERROR(__xludf.DUMMYFUNCTION("""COMPUTED_VALUE"""),8)</f>
        <v>8</v>
      </c>
      <c r="R90" s="8">
        <f ca="1">IFERROR(__xludf.DUMMYFUNCTION("""COMPUTED_VALUE"""),832)</f>
        <v>832</v>
      </c>
      <c r="S90" s="8">
        <f ca="1">IFERROR(__xludf.DUMMYFUNCTION("""COMPUTED_VALUE"""),12.8)</f>
        <v>12.8</v>
      </c>
      <c r="T90" s="8">
        <f ca="1">IFERROR(__xludf.DUMMYFUNCTION("""COMPUTED_VALUE"""),844.8)</f>
        <v>844.8</v>
      </c>
      <c r="U90" s="8"/>
      <c r="V90" s="8"/>
      <c r="W90" s="8"/>
      <c r="X90" s="8"/>
      <c r="Y90" s="8"/>
      <c r="Z90" s="70" t="str">
        <f ca="1">IFERROR(__xludf.DUMMYFUNCTION("""COMPUTED_VALUE"""),"JU210")</f>
        <v>JU210</v>
      </c>
      <c r="AA90" s="37" t="str">
        <f ca="1">IFERROR(__xludf.DUMMYFUNCTION("""COMPUTED_VALUE"""),"27/10/2024")</f>
        <v>27/10/2024</v>
      </c>
      <c r="AB90" s="59">
        <f ca="1">IFERROR(__xludf.DUMMYFUNCTION("""COMPUTED_VALUE"""),0.430555555555555)</f>
        <v>0.43055555555555503</v>
      </c>
    </row>
    <row r="91" spans="1:28" ht="14.55" customHeight="1" x14ac:dyDescent="0.3">
      <c r="A91" s="8">
        <v>21</v>
      </c>
      <c r="B91" s="8"/>
      <c r="C91" s="8"/>
      <c r="D91" s="8" t="str">
        <f ca="1">IFERROR(__xludf.DUMMYFUNCTION("""COMPUTED_VALUE"""),"31/07/2024")</f>
        <v>31/07/2024</v>
      </c>
      <c r="E91" s="16" t="str">
        <f ca="1">IFERROR(__xludf.DUMMYFUNCTION("""COMPUTED_VALUE"""),"Player")</f>
        <v>Player</v>
      </c>
      <c r="F91" s="8" t="str">
        <f ca="1">IFERROR(__xludf.DUMMYFUNCTION("""COMPUTED_VALUE"""),"Roberson, Peter T")</f>
        <v>Roberson, Peter T</v>
      </c>
      <c r="G91" s="16" t="str">
        <f ca="1">IFERROR(__xludf.DUMMYFUNCTION("""COMPUTED_VALUE"""),"ENG")</f>
        <v>ENG</v>
      </c>
      <c r="H91" s="8"/>
      <c r="I91" s="8">
        <f ca="1">IFERROR(__xludf.DUMMYFUNCTION("""COMPUTED_VALUE"""),100)</f>
        <v>100</v>
      </c>
      <c r="J91" s="8"/>
      <c r="K91" s="8"/>
      <c r="L91" s="8" t="str">
        <f ca="1">IFERROR(__xludf.DUMMYFUNCTION("""COMPUTED_VALUE"""),"The Sharks")</f>
        <v>The Sharks</v>
      </c>
      <c r="M91" s="16" t="str">
        <f ca="1">IFERROR(__xludf.DUMMYFUNCTION("""COMPUTED_VALUE"""),"ENG")</f>
        <v>ENG</v>
      </c>
      <c r="N91" s="16" t="str">
        <f ca="1">IFERROR(__xludf.DUMMYFUNCTION("""COMPUTED_VALUE"""),"Fontana")</f>
        <v>Fontana</v>
      </c>
      <c r="O91" s="8"/>
      <c r="P91" s="8">
        <f ca="1">IFERROR(__xludf.DUMMYFUNCTION("""COMPUTED_VALUE"""),104)</f>
        <v>104</v>
      </c>
      <c r="Q91" s="8">
        <f ca="1">IFERROR(__xludf.DUMMYFUNCTION("""COMPUTED_VALUE"""),8)</f>
        <v>8</v>
      </c>
      <c r="R91" s="8">
        <f ca="1">IFERROR(__xludf.DUMMYFUNCTION("""COMPUTED_VALUE"""),832)</f>
        <v>832</v>
      </c>
      <c r="S91" s="8">
        <f ca="1">IFERROR(__xludf.DUMMYFUNCTION("""COMPUTED_VALUE"""),12.8)</f>
        <v>12.8</v>
      </c>
      <c r="T91" s="8">
        <f ca="1">IFERROR(__xludf.DUMMYFUNCTION("""COMPUTED_VALUE"""),844.8)</f>
        <v>844.8</v>
      </c>
      <c r="U91" s="8"/>
      <c r="V91" s="8"/>
      <c r="W91" s="8"/>
      <c r="X91" s="8"/>
      <c r="Y91" s="8"/>
      <c r="Z91" s="70" t="str">
        <f ca="1">IFERROR(__xludf.DUMMYFUNCTION("""COMPUTED_VALUE"""),"JU210")</f>
        <v>JU210</v>
      </c>
      <c r="AA91" s="37" t="str">
        <f ca="1">IFERROR(__xludf.DUMMYFUNCTION("""COMPUTED_VALUE"""),"27/10/2024")</f>
        <v>27/10/2024</v>
      </c>
      <c r="AB91" s="59">
        <f ca="1">IFERROR(__xludf.DUMMYFUNCTION("""COMPUTED_VALUE"""),0.430555555555555)</f>
        <v>0.43055555555555503</v>
      </c>
    </row>
    <row r="92" spans="1:28" ht="14.55" customHeight="1" x14ac:dyDescent="0.3">
      <c r="A92" s="8">
        <v>22</v>
      </c>
      <c r="B92" s="8"/>
      <c r="C92" s="8"/>
      <c r="D92" s="8" t="str">
        <f ca="1">IFERROR(__xludf.DUMMYFUNCTION("""COMPUTED_VALUE"""),"31/07/2024")</f>
        <v>31/07/2024</v>
      </c>
      <c r="E92" s="16" t="str">
        <f ca="1">IFERROR(__xludf.DUMMYFUNCTION("""COMPUTED_VALUE"""),"Player")</f>
        <v>Player</v>
      </c>
      <c r="F92" s="8" t="str">
        <f ca="1">IFERROR(__xludf.DUMMYFUNCTION("""COMPUTED_VALUE"""),"Moreby, James")</f>
        <v>Moreby, James</v>
      </c>
      <c r="G92" s="16" t="str">
        <f ca="1">IFERROR(__xludf.DUMMYFUNCTION("""COMPUTED_VALUE"""),"ENG")</f>
        <v>ENG</v>
      </c>
      <c r="H92" s="8"/>
      <c r="I92" s="8">
        <f ca="1">IFERROR(__xludf.DUMMYFUNCTION("""COMPUTED_VALUE"""),100)</f>
        <v>100</v>
      </c>
      <c r="J92" s="8"/>
      <c r="K92" s="8"/>
      <c r="L92" s="8" t="str">
        <f ca="1">IFERROR(__xludf.DUMMYFUNCTION("""COMPUTED_VALUE"""),"The Sharks")</f>
        <v>The Sharks</v>
      </c>
      <c r="M92" s="16" t="str">
        <f ca="1">IFERROR(__xludf.DUMMYFUNCTION("""COMPUTED_VALUE"""),"ENG")</f>
        <v>ENG</v>
      </c>
      <c r="N92" s="16" t="str">
        <f ca="1">IFERROR(__xludf.DUMMYFUNCTION("""COMPUTED_VALUE"""),"Fontana")</f>
        <v>Fontana</v>
      </c>
      <c r="O92" s="8" t="str">
        <f ca="1">IFERROR(__xludf.DUMMYFUNCTION("""COMPUTED_VALUE"""),"Fernandez-twin")</f>
        <v>Fernandez-twin</v>
      </c>
      <c r="P92" s="8">
        <f ca="1">IFERROR(__xludf.DUMMYFUNCTION("""COMPUTED_VALUE"""),84)</f>
        <v>84</v>
      </c>
      <c r="Q92" s="8">
        <f ca="1">IFERROR(__xludf.DUMMYFUNCTION("""COMPUTED_VALUE"""),8)</f>
        <v>8</v>
      </c>
      <c r="R92" s="8">
        <f ca="1">IFERROR(__xludf.DUMMYFUNCTION("""COMPUTED_VALUE"""),672)</f>
        <v>672</v>
      </c>
      <c r="S92" s="8">
        <f ca="1">IFERROR(__xludf.DUMMYFUNCTION("""COMPUTED_VALUE"""),12.8)</f>
        <v>12.8</v>
      </c>
      <c r="T92" s="8">
        <f ca="1">IFERROR(__xludf.DUMMYFUNCTION("""COMPUTED_VALUE"""),684.8)</f>
        <v>684.8</v>
      </c>
      <c r="U92" s="8"/>
      <c r="V92" s="8"/>
      <c r="W92" s="8"/>
      <c r="X92" s="8"/>
      <c r="Y92" s="8"/>
      <c r="Z92" s="70" t="str">
        <f ca="1">IFERROR(__xludf.DUMMYFUNCTION("""COMPUTED_VALUE"""),"JU210")</f>
        <v>JU210</v>
      </c>
      <c r="AA92" s="37" t="str">
        <f ca="1">IFERROR(__xludf.DUMMYFUNCTION("""COMPUTED_VALUE"""),"27/10/2024")</f>
        <v>27/10/2024</v>
      </c>
      <c r="AB92" s="59">
        <f ca="1">IFERROR(__xludf.DUMMYFUNCTION("""COMPUTED_VALUE"""),0.430555555555555)</f>
        <v>0.43055555555555503</v>
      </c>
    </row>
    <row r="93" spans="1:28" ht="14.55" customHeight="1" x14ac:dyDescent="0.3">
      <c r="A93" s="8">
        <v>23</v>
      </c>
      <c r="B93" s="8"/>
      <c r="C93" s="8"/>
      <c r="D93" s="8" t="str">
        <f ca="1">IFERROR(__xludf.DUMMYFUNCTION("""COMPUTED_VALUE"""),"14/08/2024")</f>
        <v>14/08/2024</v>
      </c>
      <c r="E93" s="16" t="str">
        <f ca="1">IFERROR(__xludf.DUMMYFUNCTION("""COMPUTED_VALUE"""),"Player")</f>
        <v>Player</v>
      </c>
      <c r="F93" s="8" t="str">
        <f ca="1">IFERROR(__xludf.DUMMYFUNCTION("""COMPUTED_VALUE"""),"Peoples, Jonathon")</f>
        <v>Peoples, Jonathon</v>
      </c>
      <c r="G93" s="16" t="str">
        <f ca="1">IFERROR(__xludf.DUMMYFUNCTION("""COMPUTED_VALUE"""),"IRL")</f>
        <v>IRL</v>
      </c>
      <c r="H93" s="8"/>
      <c r="I93" s="8">
        <f ca="1">IFERROR(__xludf.DUMMYFUNCTION("""COMPUTED_VALUE"""),100)</f>
        <v>100</v>
      </c>
      <c r="J93" s="8"/>
      <c r="K93" s="8"/>
      <c r="L93" s="8" t="str">
        <f ca="1">IFERROR(__xludf.DUMMYFUNCTION("""COMPUTED_VALUE"""),"UCD (University College Dublin)")</f>
        <v>UCD (University College Dublin)</v>
      </c>
      <c r="M93" s="16" t="str">
        <f ca="1">IFERROR(__xludf.DUMMYFUNCTION("""COMPUTED_VALUE"""),"IRL")</f>
        <v>IRL</v>
      </c>
      <c r="N93" s="16" t="str">
        <f ca="1">IFERROR(__xludf.DUMMYFUNCTION("""COMPUTED_VALUE"""),"Tonanti")</f>
        <v>Tonanti</v>
      </c>
      <c r="O93" s="8" t="str">
        <f ca="1">IFERROR(__xludf.DUMMYFUNCTION("""COMPUTED_VALUE"""),"Sam O'Neill")</f>
        <v>Sam O'Neill</v>
      </c>
      <c r="P93" s="8">
        <f ca="1">IFERROR(__xludf.DUMMYFUNCTION("""COMPUTED_VALUE"""),85)</f>
        <v>85</v>
      </c>
      <c r="Q93" s="8">
        <f ca="1">IFERROR(__xludf.DUMMYFUNCTION("""COMPUTED_VALUE"""),8)</f>
        <v>8</v>
      </c>
      <c r="R93" s="8">
        <f ca="1">IFERROR(__xludf.DUMMYFUNCTION("""COMPUTED_VALUE"""),680)</f>
        <v>680</v>
      </c>
      <c r="S93" s="8">
        <f ca="1">IFERROR(__xludf.DUMMYFUNCTION("""COMPUTED_VALUE"""),12.8)</f>
        <v>12.8</v>
      </c>
      <c r="T93" s="8">
        <f ca="1">IFERROR(__xludf.DUMMYFUNCTION("""COMPUTED_VALUE"""),692.8)</f>
        <v>692.8</v>
      </c>
      <c r="U93" s="8"/>
      <c r="V93" s="8"/>
      <c r="W93" s="8"/>
      <c r="X93" s="8"/>
      <c r="Y93" s="8"/>
      <c r="Z93" s="70" t="str">
        <f ca="1">IFERROR(__xludf.DUMMYFUNCTION("""COMPUTED_VALUE"""),"JU210")</f>
        <v>JU210</v>
      </c>
      <c r="AA93" s="37" t="str">
        <f ca="1">IFERROR(__xludf.DUMMYFUNCTION("""COMPUTED_VALUE"""),"27/10/2024")</f>
        <v>27/10/2024</v>
      </c>
      <c r="AB93" s="59">
        <f ca="1">IFERROR(__xludf.DUMMYFUNCTION("""COMPUTED_VALUE"""),0.430555555555555)</f>
        <v>0.43055555555555503</v>
      </c>
    </row>
    <row r="94" spans="1:28" ht="14.55" customHeight="1" x14ac:dyDescent="0.3">
      <c r="A94" s="8">
        <v>24</v>
      </c>
      <c r="B94" s="8"/>
      <c r="C94" s="8"/>
      <c r="D94" s="8" t="str">
        <f ca="1">IFERROR(__xludf.DUMMYFUNCTION("""COMPUTED_VALUE"""),"14/09/2024")</f>
        <v>14/09/2024</v>
      </c>
      <c r="E94" s="16" t="str">
        <f ca="1">IFERROR(__xludf.DUMMYFUNCTION("""COMPUTED_VALUE"""),"Player")</f>
        <v>Player</v>
      </c>
      <c r="F94" s="8" t="str">
        <f ca="1">IFERROR(__xludf.DUMMYFUNCTION("""COMPUTED_VALUE"""),"Li, Harry")</f>
        <v>Li, Harry</v>
      </c>
      <c r="G94" s="16" t="str">
        <f ca="1">IFERROR(__xludf.DUMMYFUNCTION("""COMPUTED_VALUE"""),"ENG")</f>
        <v>ENG</v>
      </c>
      <c r="H94" s="8"/>
      <c r="I94" s="8">
        <f ca="1">IFERROR(__xludf.DUMMYFUNCTION("""COMPUTED_VALUE"""),100)</f>
        <v>100</v>
      </c>
      <c r="J94" s="8"/>
      <c r="K94" s="8"/>
      <c r="L94" s="8" t="str">
        <f ca="1">IFERROR(__xludf.DUMMYFUNCTION("""COMPUTED_VALUE"""),"White Rose")</f>
        <v>White Rose</v>
      </c>
      <c r="M94" s="16" t="str">
        <f ca="1">IFERROR(__xludf.DUMMYFUNCTION("""COMPUTED_VALUE"""),"ENG")</f>
        <v>ENG</v>
      </c>
      <c r="N94" s="16" t="str">
        <f ca="1">IFERROR(__xludf.DUMMYFUNCTION("""COMPUTED_VALUE"""),"Fontana")</f>
        <v>Fontana</v>
      </c>
      <c r="O94" s="8"/>
      <c r="P94" s="8">
        <f ca="1">IFERROR(__xludf.DUMMYFUNCTION("""COMPUTED_VALUE"""),104)</f>
        <v>104</v>
      </c>
      <c r="Q94" s="8">
        <f ca="1">IFERROR(__xludf.DUMMYFUNCTION("""COMPUTED_VALUE"""),8)</f>
        <v>8</v>
      </c>
      <c r="R94" s="8">
        <f ca="1">IFERROR(__xludf.DUMMYFUNCTION("""COMPUTED_VALUE"""),832)</f>
        <v>832</v>
      </c>
      <c r="S94" s="8">
        <f ca="1">IFERROR(__xludf.DUMMYFUNCTION("""COMPUTED_VALUE"""),12.8)</f>
        <v>12.8</v>
      </c>
      <c r="T94" s="8">
        <f ca="1">IFERROR(__xludf.DUMMYFUNCTION("""COMPUTED_VALUE"""),844.8)</f>
        <v>844.8</v>
      </c>
      <c r="U94" s="8"/>
      <c r="V94" s="8"/>
      <c r="W94" s="8"/>
      <c r="X94" s="8"/>
      <c r="Y94" s="8"/>
      <c r="Z94" s="70" t="str">
        <f ca="1">IFERROR(__xludf.DUMMYFUNCTION("""COMPUTED_VALUE"""),"JU210")</f>
        <v>JU210</v>
      </c>
      <c r="AA94" s="37" t="str">
        <f ca="1">IFERROR(__xludf.DUMMYFUNCTION("""COMPUTED_VALUE"""),"27/10/2024")</f>
        <v>27/10/2024</v>
      </c>
      <c r="AB94" s="59">
        <f ca="1">IFERROR(__xludf.DUMMYFUNCTION("""COMPUTED_VALUE"""),0.430555555555555)</f>
        <v>0.43055555555555503</v>
      </c>
    </row>
    <row r="95" spans="1:28" ht="14.55" customHeight="1" x14ac:dyDescent="0.3">
      <c r="A95" s="8">
        <v>25</v>
      </c>
      <c r="B95" s="8"/>
      <c r="C95" s="8"/>
      <c r="D95" s="8" t="str">
        <f ca="1">IFERROR(__xludf.DUMMYFUNCTION("""COMPUTED_VALUE"""),"26/07/2024")</f>
        <v>26/07/2024</v>
      </c>
      <c r="E95" s="16" t="str">
        <f ca="1">IFERROR(__xludf.DUMMYFUNCTION("""COMPUTED_VALUE"""),"Player")</f>
        <v>Player</v>
      </c>
      <c r="F95" s="8" t="str">
        <f ca="1">IFERROR(__xludf.DUMMYFUNCTION("""COMPUTED_VALUE"""),"Wadsworth, Matthew J")</f>
        <v>Wadsworth, Matthew J</v>
      </c>
      <c r="G95" s="16" t="str">
        <f ca="1">IFERROR(__xludf.DUMMYFUNCTION("""COMPUTED_VALUE"""),"ENG")</f>
        <v>ENG</v>
      </c>
      <c r="H95" s="8"/>
      <c r="I95" s="8">
        <f ca="1">IFERROR(__xludf.DUMMYFUNCTION("""COMPUTED_VALUE"""),100)</f>
        <v>100</v>
      </c>
      <c r="J95" s="8"/>
      <c r="K95" s="8"/>
      <c r="L95" s="8" t="str">
        <f ca="1">IFERROR(__xludf.DUMMYFUNCTION("""COMPUTED_VALUE"""),"Wood Green")</f>
        <v>Wood Green</v>
      </c>
      <c r="M95" s="16" t="str">
        <f ca="1">IFERROR(__xludf.DUMMYFUNCTION("""COMPUTED_VALUE"""),"ENG")</f>
        <v>ENG</v>
      </c>
      <c r="N95" s="16" t="str">
        <f ca="1">IFERROR(__xludf.DUMMYFUNCTION("""COMPUTED_VALUE"""),"Zepter")</f>
        <v>Zepter</v>
      </c>
      <c r="O95" s="8"/>
      <c r="P95" s="8">
        <f ca="1">IFERROR(__xludf.DUMMYFUNCTION("""COMPUTED_VALUE"""),104)</f>
        <v>104</v>
      </c>
      <c r="Q95" s="8">
        <f ca="1">IFERROR(__xludf.DUMMYFUNCTION("""COMPUTED_VALUE"""),8)</f>
        <v>8</v>
      </c>
      <c r="R95" s="8">
        <f ca="1">IFERROR(__xludf.DUMMYFUNCTION("""COMPUTED_VALUE"""),832)</f>
        <v>832</v>
      </c>
      <c r="S95" s="8">
        <f ca="1">IFERROR(__xludf.DUMMYFUNCTION("""COMPUTED_VALUE"""),12.8)</f>
        <v>12.8</v>
      </c>
      <c r="T95" s="8">
        <f ca="1">IFERROR(__xludf.DUMMYFUNCTION("""COMPUTED_VALUE"""),844.8)</f>
        <v>844.8</v>
      </c>
      <c r="U95" s="8"/>
      <c r="V95" s="8"/>
      <c r="W95" s="8"/>
      <c r="X95" s="8"/>
      <c r="Y95" s="8"/>
      <c r="Z95" s="70" t="str">
        <f ca="1">IFERROR(__xludf.DUMMYFUNCTION("""COMPUTED_VALUE"""),"JU 210")</f>
        <v>JU 210</v>
      </c>
      <c r="AA95" s="37" t="str">
        <f ca="1">IFERROR(__xludf.DUMMYFUNCTION("""COMPUTED_VALUE"""),"27/10/2024")</f>
        <v>27/10/2024</v>
      </c>
      <c r="AB95" s="59">
        <f ca="1">IFERROR(__xludf.DUMMYFUNCTION("""COMPUTED_VALUE"""),0.430555555555555)</f>
        <v>0.43055555555555503</v>
      </c>
    </row>
    <row r="96" spans="1:28" ht="14.55" customHeight="1" x14ac:dyDescent="0.3">
      <c r="A96" s="8">
        <v>26</v>
      </c>
      <c r="B96" s="8"/>
      <c r="C96" s="8"/>
      <c r="D96" s="8" t="str">
        <f ca="1">IFERROR(__xludf.DUMMYFUNCTION("""COMPUTED_VALUE"""),"26/07/2024")</f>
        <v>26/07/2024</v>
      </c>
      <c r="E96" s="16" t="str">
        <f ca="1">IFERROR(__xludf.DUMMYFUNCTION("""COMPUTED_VALUE"""),"Player")</f>
        <v>Player</v>
      </c>
      <c r="F96" s="8" t="str">
        <f ca="1">IFERROR(__xludf.DUMMYFUNCTION("""COMPUTED_VALUE"""),"Willow, Jonah B")</f>
        <v>Willow, Jonah B</v>
      </c>
      <c r="G96" s="16" t="str">
        <f ca="1">IFERROR(__xludf.DUMMYFUNCTION("""COMPUTED_VALUE"""),"ENG")</f>
        <v>ENG</v>
      </c>
      <c r="H96" s="8"/>
      <c r="I96" s="8">
        <f ca="1">IFERROR(__xludf.DUMMYFUNCTION("""COMPUTED_VALUE"""),100)</f>
        <v>100</v>
      </c>
      <c r="J96" s="8"/>
      <c r="K96" s="8"/>
      <c r="L96" s="8" t="str">
        <f ca="1">IFERROR(__xludf.DUMMYFUNCTION("""COMPUTED_VALUE"""),"Wood Green")</f>
        <v>Wood Green</v>
      </c>
      <c r="M96" s="16" t="str">
        <f ca="1">IFERROR(__xludf.DUMMYFUNCTION("""COMPUTED_VALUE"""),"ENG")</f>
        <v>ENG</v>
      </c>
      <c r="N96" s="16" t="str">
        <f ca="1">IFERROR(__xludf.DUMMYFUNCTION("""COMPUTED_VALUE"""),"Zepter")</f>
        <v>Zepter</v>
      </c>
      <c r="O96" s="8" t="str">
        <f ca="1">IFERROR(__xludf.DUMMYFUNCTION("""COMPUTED_VALUE"""),"DERAKHSHANI")</f>
        <v>DERAKHSHANI</v>
      </c>
      <c r="P96" s="8">
        <f ca="1">IFERROR(__xludf.DUMMYFUNCTION("""COMPUTED_VALUE"""),82)</f>
        <v>82</v>
      </c>
      <c r="Q96" s="8">
        <f ca="1">IFERROR(__xludf.DUMMYFUNCTION("""COMPUTED_VALUE"""),8)</f>
        <v>8</v>
      </c>
      <c r="R96" s="8">
        <f ca="1">IFERROR(__xludf.DUMMYFUNCTION("""COMPUTED_VALUE"""),656)</f>
        <v>656</v>
      </c>
      <c r="S96" s="8">
        <f ca="1">IFERROR(__xludf.DUMMYFUNCTION("""COMPUTED_VALUE"""),12.8)</f>
        <v>12.8</v>
      </c>
      <c r="T96" s="8">
        <f ca="1">IFERROR(__xludf.DUMMYFUNCTION("""COMPUTED_VALUE"""),668.8)</f>
        <v>668.8</v>
      </c>
      <c r="U96" s="8"/>
      <c r="V96" s="8"/>
      <c r="W96" s="8"/>
      <c r="X96" s="8"/>
      <c r="Y96" s="8"/>
      <c r="Z96" s="70" t="str">
        <f ca="1">IFERROR(__xludf.DUMMYFUNCTION("""COMPUTED_VALUE"""),"JU 210")</f>
        <v>JU 210</v>
      </c>
      <c r="AA96" s="37" t="str">
        <f ca="1">IFERROR(__xludf.DUMMYFUNCTION("""COMPUTED_VALUE"""),"27/10/2024")</f>
        <v>27/10/2024</v>
      </c>
      <c r="AB96" s="59">
        <f ca="1">IFERROR(__xludf.DUMMYFUNCTION("""COMPUTED_VALUE"""),0.430555555555555)</f>
        <v>0.43055555555555503</v>
      </c>
    </row>
    <row r="97" spans="1:28" ht="14.55" customHeight="1" x14ac:dyDescent="0.3">
      <c r="A97" s="8">
        <v>27</v>
      </c>
      <c r="B97" s="8"/>
      <c r="C97" s="8"/>
      <c r="D97" s="8" t="str">
        <f ca="1">IFERROR(__xludf.DUMMYFUNCTION("""COMPUTED_VALUE"""),"26/07/2024")</f>
        <v>26/07/2024</v>
      </c>
      <c r="E97" s="16" t="str">
        <f ca="1">IFERROR(__xludf.DUMMYFUNCTION("""COMPUTED_VALUE"""),"Player")</f>
        <v>Player</v>
      </c>
      <c r="F97" s="8" t="str">
        <f ca="1">IFERROR(__xludf.DUMMYFUNCTION("""COMPUTED_VALUE"""),"Derakhshani, Borna")</f>
        <v>Derakhshani, Borna</v>
      </c>
      <c r="G97" s="16" t="str">
        <f ca="1">IFERROR(__xludf.DUMMYFUNCTION("""COMPUTED_VALUE"""),"ENG")</f>
        <v>ENG</v>
      </c>
      <c r="H97" s="8"/>
      <c r="I97" s="8">
        <f ca="1">IFERROR(__xludf.DUMMYFUNCTION("""COMPUTED_VALUE"""),100)</f>
        <v>100</v>
      </c>
      <c r="J97" s="8"/>
      <c r="K97" s="8"/>
      <c r="L97" s="8" t="str">
        <f ca="1">IFERROR(__xludf.DUMMYFUNCTION("""COMPUTED_VALUE"""),"Wood Green")</f>
        <v>Wood Green</v>
      </c>
      <c r="M97" s="16" t="str">
        <f ca="1">IFERROR(__xludf.DUMMYFUNCTION("""COMPUTED_VALUE"""),"ENG")</f>
        <v>ENG</v>
      </c>
      <c r="N97" s="16" t="str">
        <f ca="1">IFERROR(__xludf.DUMMYFUNCTION("""COMPUTED_VALUE"""),"Zepter")</f>
        <v>Zepter</v>
      </c>
      <c r="O97" s="8" t="str">
        <f ca="1">IFERROR(__xludf.DUMMYFUNCTION("""COMPUTED_VALUE"""),"WILLOW")</f>
        <v>WILLOW</v>
      </c>
      <c r="P97" s="8">
        <f ca="1">IFERROR(__xludf.DUMMYFUNCTION("""COMPUTED_VALUE"""),82)</f>
        <v>82</v>
      </c>
      <c r="Q97" s="8">
        <f ca="1">IFERROR(__xludf.DUMMYFUNCTION("""COMPUTED_VALUE"""),8)</f>
        <v>8</v>
      </c>
      <c r="R97" s="8">
        <f ca="1">IFERROR(__xludf.DUMMYFUNCTION("""COMPUTED_VALUE"""),656)</f>
        <v>656</v>
      </c>
      <c r="S97" s="8">
        <f ca="1">IFERROR(__xludf.DUMMYFUNCTION("""COMPUTED_VALUE"""),12.8)</f>
        <v>12.8</v>
      </c>
      <c r="T97" s="8">
        <f ca="1">IFERROR(__xludf.DUMMYFUNCTION("""COMPUTED_VALUE"""),668.8)</f>
        <v>668.8</v>
      </c>
      <c r="U97" s="8"/>
      <c r="V97" s="8"/>
      <c r="W97" s="8"/>
      <c r="X97" s="8"/>
      <c r="Y97" s="8"/>
      <c r="Z97" s="70" t="str">
        <f ca="1">IFERROR(__xludf.DUMMYFUNCTION("""COMPUTED_VALUE"""),"JU 210")</f>
        <v>JU 210</v>
      </c>
      <c r="AA97" s="37" t="str">
        <f ca="1">IFERROR(__xludf.DUMMYFUNCTION("""COMPUTED_VALUE"""),"27/10/2024")</f>
        <v>27/10/2024</v>
      </c>
      <c r="AB97" s="59">
        <f ca="1">IFERROR(__xludf.DUMMYFUNCTION("""COMPUTED_VALUE"""),0.430555555555555)</f>
        <v>0.43055555555555503</v>
      </c>
    </row>
    <row r="98" spans="1:28" ht="14.55" customHeight="1" x14ac:dyDescent="0.3">
      <c r="A98" s="8">
        <v>28</v>
      </c>
      <c r="B98" s="8"/>
      <c r="C98" s="8"/>
      <c r="D98" s="8" t="str">
        <f ca="1">IFERROR(__xludf.DUMMYFUNCTION("""COMPUTED_VALUE"""),"26/07/2024")</f>
        <v>26/07/2024</v>
      </c>
      <c r="E98" s="16" t="s">
        <v>0</v>
      </c>
      <c r="F98" s="8" t="str">
        <f ca="1">IFERROR(__xludf.DUMMYFUNCTION("""COMPUTED_VALUE"""),"Wright, Marc")</f>
        <v>Wright, Marc</v>
      </c>
      <c r="G98" s="16" t="str">
        <f ca="1">IFERROR(__xludf.DUMMYFUNCTION("""COMPUTED_VALUE"""),"ENG")</f>
        <v>ENG</v>
      </c>
      <c r="H98" s="8"/>
      <c r="I98" s="8">
        <f ca="1">IFERROR(__xludf.DUMMYFUNCTION("""COMPUTED_VALUE"""),100)</f>
        <v>100</v>
      </c>
      <c r="J98" s="8"/>
      <c r="K98" s="8"/>
      <c r="L98" s="8" t="str">
        <f ca="1">IFERROR(__xludf.DUMMYFUNCTION("""COMPUTED_VALUE"""),"Wood Green")</f>
        <v>Wood Green</v>
      </c>
      <c r="M98" s="16" t="str">
        <f ca="1">IFERROR(__xludf.DUMMYFUNCTION("""COMPUTED_VALUE"""),"ENG")</f>
        <v>ENG</v>
      </c>
      <c r="N98" s="16" t="str">
        <f ca="1">IFERROR(__xludf.DUMMYFUNCTION("""COMPUTED_VALUE"""),"Zepter")</f>
        <v>Zepter</v>
      </c>
      <c r="O98" s="8" t="str">
        <f ca="1">IFERROR(__xludf.DUMMYFUNCTION("""COMPUTED_VALUE"""),"GRIGORYAN")</f>
        <v>GRIGORYAN</v>
      </c>
      <c r="P98" s="8">
        <f ca="1">IFERROR(__xludf.DUMMYFUNCTION("""COMPUTED_VALUE"""),82)</f>
        <v>82</v>
      </c>
      <c r="Q98" s="8">
        <f ca="1">IFERROR(__xludf.DUMMYFUNCTION("""COMPUTED_VALUE"""),3)</f>
        <v>3</v>
      </c>
      <c r="R98" s="8">
        <f ca="1">IFERROR(__xludf.DUMMYFUNCTION("""COMPUTED_VALUE"""),246)</f>
        <v>246</v>
      </c>
      <c r="S98" s="8">
        <f ca="1">IFERROR(__xludf.DUMMYFUNCTION("""COMPUTED_VALUE"""),4.8)</f>
        <v>4.8</v>
      </c>
      <c r="T98" s="8">
        <f ca="1">IFERROR(__xludf.DUMMYFUNCTION("""COMPUTED_VALUE"""),250.8)</f>
        <v>250.8</v>
      </c>
      <c r="U98" s="8"/>
      <c r="V98" s="8"/>
      <c r="W98" s="8"/>
      <c r="X98" s="8"/>
      <c r="Y98" s="8"/>
      <c r="Z98" s="70" t="str">
        <f ca="1">IFERROR(__xludf.DUMMYFUNCTION("""COMPUTED_VALUE"""),"JU 210")</f>
        <v>JU 210</v>
      </c>
      <c r="AA98" s="37" t="str">
        <f ca="1">IFERROR(__xludf.DUMMYFUNCTION("""COMPUTED_VALUE"""),"27/10/2024")</f>
        <v>27/10/2024</v>
      </c>
      <c r="AB98" s="59">
        <f ca="1">IFERROR(__xludf.DUMMYFUNCTION("""COMPUTED_VALUE"""),0.430555555555555)</f>
        <v>0.43055555555555503</v>
      </c>
    </row>
    <row r="99" spans="1:28" ht="14.55" customHeight="1" x14ac:dyDescent="0.25">
      <c r="A99" s="8">
        <v>29</v>
      </c>
      <c r="B99" s="8"/>
      <c r="C99" s="8"/>
      <c r="D99" s="8" t="str">
        <f ca="1">IFERROR(__xludf.DUMMYFUNCTION("""COMPUTED_VALUE"""),"26/07/2024")</f>
        <v>26/07/2024</v>
      </c>
      <c r="E99" s="16" t="str">
        <f ca="1">IFERROR(__xludf.DUMMYFUNCTION("""COMPUTED_VALUE"""),"Player")</f>
        <v>Player</v>
      </c>
      <c r="F99" s="8" t="str">
        <f ca="1">IFERROR(__xludf.DUMMYFUNCTION("""COMPUTED_VALUE"""),"Grigoryan, Meri")</f>
        <v>Grigoryan, Meri</v>
      </c>
      <c r="G99" s="16" t="str">
        <f ca="1">IFERROR(__xludf.DUMMYFUNCTION("""COMPUTED_VALUE"""),"ENG")</f>
        <v>ENG</v>
      </c>
      <c r="H99" s="8"/>
      <c r="I99" s="8">
        <f ca="1">IFERROR(__xludf.DUMMYFUNCTION("""COMPUTED_VALUE"""),100)</f>
        <v>100</v>
      </c>
      <c r="J99" s="8"/>
      <c r="K99" s="8"/>
      <c r="L99" s="8" t="str">
        <f ca="1">IFERROR(__xludf.DUMMYFUNCTION("""COMPUTED_VALUE"""),"Wood Green")</f>
        <v>Wood Green</v>
      </c>
      <c r="M99" s="16" t="str">
        <f ca="1">IFERROR(__xludf.DUMMYFUNCTION("""COMPUTED_VALUE"""),"ENG")</f>
        <v>ENG</v>
      </c>
      <c r="N99" s="16" t="str">
        <f ca="1">IFERROR(__xludf.DUMMYFUNCTION("""COMPUTED_VALUE"""),"Zepter")</f>
        <v>Zepter</v>
      </c>
      <c r="O99" s="8" t="str">
        <f ca="1">IFERROR(__xludf.DUMMYFUNCTION("""COMPUTED_VALUE"""),"WRIGHT")</f>
        <v>WRIGHT</v>
      </c>
      <c r="P99" s="8">
        <f ca="1">IFERROR(__xludf.DUMMYFUNCTION("""COMPUTED_VALUE"""),82)</f>
        <v>82</v>
      </c>
      <c r="Q99" s="8">
        <f ca="1">IFERROR(__xludf.DUMMYFUNCTION("""COMPUTED_VALUE"""),8)</f>
        <v>8</v>
      </c>
      <c r="R99" s="8">
        <f ca="1">IFERROR(__xludf.DUMMYFUNCTION("""COMPUTED_VALUE"""),656)</f>
        <v>656</v>
      </c>
      <c r="S99" s="8">
        <f ca="1">IFERROR(__xludf.DUMMYFUNCTION("""COMPUTED_VALUE"""),12.8)</f>
        <v>12.8</v>
      </c>
      <c r="T99" s="8">
        <f ca="1">IFERROR(__xludf.DUMMYFUNCTION("""COMPUTED_VALUE"""),668.8)</f>
        <v>668.8</v>
      </c>
      <c r="U99" s="8"/>
      <c r="V99" s="8"/>
      <c r="W99" s="8"/>
      <c r="X99" s="8" t="str">
        <f ca="1">IFERROR(__xludf.DUMMYFUNCTION("""COMPUTED_VALUE"""),"jednokr prvih 5 dana")</f>
        <v>jednokr prvih 5 dana</v>
      </c>
      <c r="Y99" s="8"/>
      <c r="Z99" s="71" t="s">
        <v>22</v>
      </c>
      <c r="AA99" s="38" t="s">
        <v>20</v>
      </c>
      <c r="AB99" s="60" t="s">
        <v>21</v>
      </c>
    </row>
    <row r="100" spans="1:28" ht="14.55" customHeight="1" x14ac:dyDescent="0.25">
      <c r="A100" s="8">
        <v>30</v>
      </c>
      <c r="B100" s="8"/>
      <c r="C100" s="8"/>
      <c r="D100" s="8" t="str">
        <f ca="1">IFERROR(__xludf.DUMMYFUNCTION("""COMPUTED_VALUE"""),"15/08/2024")</f>
        <v>15/08/2024</v>
      </c>
      <c r="E100" s="16" t="str">
        <f ca="1">IFERROR(__xludf.DUMMYFUNCTION("""COMPUTED_VALUE"""),"Player")</f>
        <v>Player</v>
      </c>
      <c r="F100" s="8" t="str">
        <f ca="1">IFERROR(__xludf.DUMMYFUNCTION("""COMPUTED_VALUE"""),"Gurel, Ediz")</f>
        <v>Gurel, Ediz</v>
      </c>
      <c r="G100" s="16" t="str">
        <f ca="1">IFERROR(__xludf.DUMMYFUNCTION("""COMPUTED_VALUE"""),"TUR")</f>
        <v>TUR</v>
      </c>
      <c r="H100" s="8"/>
      <c r="I100" s="8">
        <f ca="1">IFERROR(__xludf.DUMMYFUNCTION("""COMPUTED_VALUE"""),100)</f>
        <v>100</v>
      </c>
      <c r="J100" s="8"/>
      <c r="K100" s="8"/>
      <c r="L100" s="8" t="str">
        <f ca="1">IFERROR(__xludf.DUMMYFUNCTION("""COMPUTED_VALUE"""),"Turkish Airlines")</f>
        <v>Turkish Airlines</v>
      </c>
      <c r="M100" s="16" t="str">
        <f ca="1">IFERROR(__xludf.DUMMYFUNCTION("""COMPUTED_VALUE"""),"TUR")</f>
        <v>TUR</v>
      </c>
      <c r="N100" s="16" t="str">
        <f ca="1">IFERROR(__xludf.DUMMYFUNCTION("""COMPUTED_VALUE"""),"Terme")</f>
        <v>Terme</v>
      </c>
      <c r="O100" s="8"/>
      <c r="P100" s="8">
        <f ca="1">IFERROR(__xludf.DUMMYFUNCTION("""COMPUTED_VALUE"""),82)</f>
        <v>82</v>
      </c>
      <c r="Q100" s="8">
        <f ca="1">IFERROR(__xludf.DUMMYFUNCTION("""COMPUTED_VALUE"""),8)</f>
        <v>8</v>
      </c>
      <c r="R100" s="8">
        <f ca="1">IFERROR(__xludf.DUMMYFUNCTION("""COMPUTED_VALUE"""),656)</f>
        <v>656</v>
      </c>
      <c r="S100" s="8">
        <f ca="1">IFERROR(__xludf.DUMMYFUNCTION("""COMPUTED_VALUE"""),12.8)</f>
        <v>12.8</v>
      </c>
      <c r="T100" s="8">
        <f ca="1">IFERROR(__xludf.DUMMYFUNCTION("""COMPUTED_VALUE"""),668.8)</f>
        <v>668.8</v>
      </c>
      <c r="U100" s="8"/>
      <c r="V100" s="8"/>
      <c r="W100" s="8"/>
      <c r="X100" s="8"/>
      <c r="Y100" s="8"/>
      <c r="Z100" s="71" t="s">
        <v>44</v>
      </c>
      <c r="AA100" s="37" t="str">
        <f ca="1">IFERROR(__xludf.DUMMYFUNCTION("""COMPUTED_VALUE"""),"27/10/2024")</f>
        <v>27/10/2024</v>
      </c>
      <c r="AB100" s="60" t="s">
        <v>52</v>
      </c>
    </row>
    <row r="101" spans="1:28" ht="14.55" customHeight="1" x14ac:dyDescent="0.25">
      <c r="A101" s="8">
        <v>31</v>
      </c>
      <c r="B101" s="8"/>
      <c r="C101" s="8"/>
      <c r="D101" s="8" t="str">
        <f ca="1">IFERROR(__xludf.DUMMYFUNCTION("""COMPUTED_VALUE"""),"15/08/2024")</f>
        <v>15/08/2024</v>
      </c>
      <c r="E101" s="16" t="str">
        <f ca="1">IFERROR(__xludf.DUMMYFUNCTION("""COMPUTED_VALUE"""),"Player")</f>
        <v>Player</v>
      </c>
      <c r="F101" s="8" t="str">
        <f ca="1">IFERROR(__xludf.DUMMYFUNCTION("""COMPUTED_VALUE"""),"Uysal, Burak")</f>
        <v>Uysal, Burak</v>
      </c>
      <c r="G101" s="16" t="str">
        <f ca="1">IFERROR(__xludf.DUMMYFUNCTION("""COMPUTED_VALUE"""),"TUR")</f>
        <v>TUR</v>
      </c>
      <c r="H101" s="8"/>
      <c r="I101" s="8">
        <f ca="1">IFERROR(__xludf.DUMMYFUNCTION("""COMPUTED_VALUE"""),100)</f>
        <v>100</v>
      </c>
      <c r="J101" s="8"/>
      <c r="K101" s="8"/>
      <c r="L101" s="8" t="str">
        <f ca="1">IFERROR(__xludf.DUMMYFUNCTION("""COMPUTED_VALUE"""),"Turkish Airlines")</f>
        <v>Turkish Airlines</v>
      </c>
      <c r="M101" s="16" t="str">
        <f ca="1">IFERROR(__xludf.DUMMYFUNCTION("""COMPUTED_VALUE"""),"TUR")</f>
        <v>TUR</v>
      </c>
      <c r="N101" s="16" t="str">
        <f ca="1">IFERROR(__xludf.DUMMYFUNCTION("""COMPUTED_VALUE"""),"Terme")</f>
        <v>Terme</v>
      </c>
      <c r="O101" s="8"/>
      <c r="P101" s="8">
        <f ca="1">IFERROR(__xludf.DUMMYFUNCTION("""COMPUTED_VALUE"""),104)</f>
        <v>104</v>
      </c>
      <c r="Q101" s="8">
        <f ca="1">IFERROR(__xludf.DUMMYFUNCTION("""COMPUTED_VALUE"""),8)</f>
        <v>8</v>
      </c>
      <c r="R101" s="8">
        <f ca="1">IFERROR(__xludf.DUMMYFUNCTION("""COMPUTED_VALUE"""),832)</f>
        <v>832</v>
      </c>
      <c r="S101" s="8">
        <f ca="1">IFERROR(__xludf.DUMMYFUNCTION("""COMPUTED_VALUE"""),12.8)</f>
        <v>12.8</v>
      </c>
      <c r="T101" s="8">
        <f ca="1">IFERROR(__xludf.DUMMYFUNCTION("""COMPUTED_VALUE"""),844.8)</f>
        <v>844.8</v>
      </c>
      <c r="U101" s="8"/>
      <c r="V101" s="8"/>
      <c r="W101" s="8"/>
      <c r="X101" s="8"/>
      <c r="Y101" s="8"/>
      <c r="Z101" s="71" t="s">
        <v>44</v>
      </c>
      <c r="AA101" s="37" t="str">
        <f ca="1">IFERROR(__xludf.DUMMYFUNCTION("""COMPUTED_VALUE"""),"27/10/2024")</f>
        <v>27/10/2024</v>
      </c>
      <c r="AB101" s="60" t="s">
        <v>52</v>
      </c>
    </row>
    <row r="102" spans="1:28" ht="14.55" customHeight="1" x14ac:dyDescent="0.25">
      <c r="A102" s="8">
        <v>32</v>
      </c>
      <c r="B102" s="8"/>
      <c r="C102" s="8"/>
      <c r="D102" s="8" t="str">
        <f ca="1">IFERROR(__xludf.DUMMYFUNCTION("""COMPUTED_VALUE"""),"15/08/2024")</f>
        <v>15/08/2024</v>
      </c>
      <c r="E102" s="16" t="s">
        <v>0</v>
      </c>
      <c r="F102" s="8" t="str">
        <f ca="1">IFERROR(__xludf.DUMMYFUNCTION("""COMPUTED_VALUE"""),"Gurel, Ozlem")</f>
        <v>Gurel, Ozlem</v>
      </c>
      <c r="G102" s="16" t="str">
        <f ca="1">IFERROR(__xludf.DUMMYFUNCTION("""COMPUTED_VALUE"""),"TUR")</f>
        <v>TUR</v>
      </c>
      <c r="H102" s="8"/>
      <c r="I102" s="8">
        <f ca="1">IFERROR(__xludf.DUMMYFUNCTION("""COMPUTED_VALUE"""),100)</f>
        <v>100</v>
      </c>
      <c r="J102" s="8"/>
      <c r="K102" s="8"/>
      <c r="L102" s="8" t="str">
        <f ca="1">IFERROR(__xludf.DUMMYFUNCTION("""COMPUTED_VALUE"""),"Turkish Airlines")</f>
        <v>Turkish Airlines</v>
      </c>
      <c r="M102" s="16" t="str">
        <f ca="1">IFERROR(__xludf.DUMMYFUNCTION("""COMPUTED_VALUE"""),"TUR")</f>
        <v>TUR</v>
      </c>
      <c r="N102" s="16" t="str">
        <f ca="1">IFERROR(__xludf.DUMMYFUNCTION("""COMPUTED_VALUE"""),"Terme")</f>
        <v>Terme</v>
      </c>
      <c r="O102" s="8"/>
      <c r="P102" s="8">
        <f ca="1">IFERROR(__xludf.DUMMYFUNCTION("""COMPUTED_VALUE"""),82)</f>
        <v>82</v>
      </c>
      <c r="Q102" s="8">
        <f ca="1">IFERROR(__xludf.DUMMYFUNCTION("""COMPUTED_VALUE"""),8)</f>
        <v>8</v>
      </c>
      <c r="R102" s="8">
        <f ca="1">IFERROR(__xludf.DUMMYFUNCTION("""COMPUTED_VALUE"""),656)</f>
        <v>656</v>
      </c>
      <c r="S102" s="8">
        <f ca="1">IFERROR(__xludf.DUMMYFUNCTION("""COMPUTED_VALUE"""),12.8)</f>
        <v>12.8</v>
      </c>
      <c r="T102" s="8">
        <f ca="1">IFERROR(__xludf.DUMMYFUNCTION("""COMPUTED_VALUE"""),668.8)</f>
        <v>668.8</v>
      </c>
      <c r="U102" s="8"/>
      <c r="V102" s="8"/>
      <c r="W102" s="8"/>
      <c r="X102" s="8"/>
      <c r="Y102" s="8"/>
      <c r="Z102" s="71" t="s">
        <v>44</v>
      </c>
      <c r="AA102" s="37" t="str">
        <f ca="1">IFERROR(__xludf.DUMMYFUNCTION("""COMPUTED_VALUE"""),"27/10/2024")</f>
        <v>27/10/2024</v>
      </c>
      <c r="AB102" s="60" t="s">
        <v>52</v>
      </c>
    </row>
    <row r="103" spans="1:28" ht="14.55" customHeight="1" x14ac:dyDescent="0.3">
      <c r="A103" s="8">
        <v>33</v>
      </c>
      <c r="B103" s="8"/>
      <c r="C103" s="8"/>
      <c r="D103" s="8" t="str">
        <f ca="1">IFERROR(__xludf.DUMMYFUNCTION("""COMPUTED_VALUE"""),"14/09/2024")</f>
        <v>14/09/2024</v>
      </c>
      <c r="E103" s="16" t="str">
        <f ca="1">IFERROR(__xludf.DUMMYFUNCTION("""COMPUTED_VALUE"""),"Player")</f>
        <v>Player</v>
      </c>
      <c r="F103" s="8" t="str">
        <f ca="1">IFERROR(__xludf.DUMMYFUNCTION("""COMPUTED_VALUE"""),"Ho, Conrad")</f>
        <v>Ho, Conrad</v>
      </c>
      <c r="G103" s="16" t="str">
        <f ca="1">IFERROR(__xludf.DUMMYFUNCTION("""COMPUTED_VALUE"""),"CAN")</f>
        <v>CAN</v>
      </c>
      <c r="H103" s="8"/>
      <c r="I103" s="8">
        <f ca="1">IFERROR(__xludf.DUMMYFUNCTION("""COMPUTED_VALUE"""),100)</f>
        <v>100</v>
      </c>
      <c r="J103" s="8"/>
      <c r="K103" s="8"/>
      <c r="L103" s="8" t="str">
        <f ca="1">IFERROR(__xludf.DUMMYFUNCTION("""COMPUTED_VALUE"""),"White Rose")</f>
        <v>White Rose</v>
      </c>
      <c r="M103" s="16" t="str">
        <f ca="1">IFERROR(__xludf.DUMMYFUNCTION("""COMPUTED_VALUE"""),"ENG")</f>
        <v>ENG</v>
      </c>
      <c r="N103" s="16" t="str">
        <f ca="1">IFERROR(__xludf.DUMMYFUNCTION("""COMPUTED_VALUE"""),"Fontana")</f>
        <v>Fontana</v>
      </c>
      <c r="O103" s="8"/>
      <c r="P103" s="8">
        <f ca="1">IFERROR(__xludf.DUMMYFUNCTION("""COMPUTED_VALUE"""),104)</f>
        <v>104</v>
      </c>
      <c r="Q103" s="8">
        <f ca="1">IFERROR(__xludf.DUMMYFUNCTION("""COMPUTED_VALUE"""),8)</f>
        <v>8</v>
      </c>
      <c r="R103" s="8">
        <f ca="1">IFERROR(__xludf.DUMMYFUNCTION("""COMPUTED_VALUE"""),832)</f>
        <v>832</v>
      </c>
      <c r="S103" s="8">
        <f ca="1">IFERROR(__xludf.DUMMYFUNCTION("""COMPUTED_VALUE"""),12.8)</f>
        <v>12.8</v>
      </c>
      <c r="T103" s="8">
        <f ca="1">IFERROR(__xludf.DUMMYFUNCTION("""COMPUTED_VALUE"""),844.8)</f>
        <v>844.8</v>
      </c>
      <c r="U103" s="8"/>
      <c r="V103" s="8"/>
      <c r="W103" s="8"/>
      <c r="X103" s="8"/>
      <c r="Y103" s="8"/>
      <c r="Z103" s="70" t="str">
        <f ca="1">IFERROR(__xludf.DUMMYFUNCTION("""COMPUTED_VALUE"""),"HU7970")</f>
        <v>HU7970</v>
      </c>
      <c r="AA103" s="37" t="str">
        <f ca="1">IFERROR(__xludf.DUMMYFUNCTION("""COMPUTED_VALUE"""),"27/10/2024")</f>
        <v>27/10/2024</v>
      </c>
      <c r="AB103" s="59">
        <f ca="1">IFERROR(__xludf.DUMMYFUNCTION("""COMPUTED_VALUE"""),0.458333333333333)</f>
        <v>0.45833333333333298</v>
      </c>
    </row>
    <row r="104" spans="1:28" ht="14.55" customHeight="1" x14ac:dyDescent="0.3">
      <c r="A104" s="8">
        <v>34</v>
      </c>
      <c r="B104" s="8"/>
      <c r="C104" s="8"/>
      <c r="D104" s="8" t="str">
        <f ca="1">IFERROR(__xludf.DUMMYFUNCTION("""COMPUTED_VALUE"""),"29/07/2024")</f>
        <v>29/07/2024</v>
      </c>
      <c r="E104" s="16" t="str">
        <f ca="1">IFERROR(__xludf.DUMMYFUNCTION("""COMPUTED_VALUE"""),"Player")</f>
        <v>Player</v>
      </c>
      <c r="F104" s="8" t="str">
        <f ca="1">IFERROR(__xludf.DUMMYFUNCTION("""COMPUTED_VALUE"""),"Salimova, Nurgyul")</f>
        <v>Salimova, Nurgyul</v>
      </c>
      <c r="G104" s="8" t="str">
        <f ca="1">IFERROR(__xludf.DUMMYFUNCTION("""COMPUTED_VALUE"""),"BUL")</f>
        <v>BUL</v>
      </c>
      <c r="H104" s="8"/>
      <c r="I104" s="8">
        <f ca="1">IFERROR(__xludf.DUMMYFUNCTION("""COMPUTED_VALUE"""),100)</f>
        <v>100</v>
      </c>
      <c r="J104" s="8"/>
      <c r="K104" s="8"/>
      <c r="L104" s="8" t="s">
        <v>5</v>
      </c>
      <c r="M104" s="8" t="str">
        <f ca="1">IFERROR(__xludf.DUMMYFUNCTION("""COMPUTED_VALUE"""),"SRB")</f>
        <v>SRB</v>
      </c>
      <c r="N104" s="16" t="str">
        <f ca="1">IFERROR(__xludf.DUMMYFUNCTION("""COMPUTED_VALUE"""),"Zepter")</f>
        <v>Zepter</v>
      </c>
      <c r="O104" s="8" t="str">
        <f ca="1">IFERROR(__xludf.DUMMYFUNCTION("""COMPUTED_VALUE"""),"Single")</f>
        <v>Single</v>
      </c>
      <c r="P104" s="8"/>
      <c r="Q104" s="8">
        <f ca="1">IFERROR(__xludf.DUMMYFUNCTION("""COMPUTED_VALUE"""),8)</f>
        <v>8</v>
      </c>
      <c r="R104" s="8">
        <f ca="1">IFERROR(__xludf.DUMMYFUNCTION("""COMPUTED_VALUE"""),832)</f>
        <v>832</v>
      </c>
      <c r="S104" s="8">
        <f ca="1">IFERROR(__xludf.DUMMYFUNCTION("""COMPUTED_VALUE"""),12.8)</f>
        <v>12.8</v>
      </c>
      <c r="T104" s="8">
        <f ca="1">IFERROR(__xludf.DUMMYFUNCTION("""COMPUTED_VALUE"""),844.8)</f>
        <v>844.8</v>
      </c>
      <c r="U104" s="8"/>
      <c r="V104" s="8"/>
      <c r="W104" s="8"/>
      <c r="X104" s="8"/>
      <c r="Y104" s="8"/>
      <c r="Z104" s="37"/>
      <c r="AA104" s="37" t="str">
        <f ca="1">IFERROR(__xludf.DUMMYFUNCTION("""COMPUTED_VALUE"""),"27/10/2024")</f>
        <v>27/10/2024</v>
      </c>
      <c r="AB104" s="64">
        <v>0.45833333333333331</v>
      </c>
    </row>
    <row r="105" spans="1:28" ht="14.55" customHeight="1" x14ac:dyDescent="0.3">
      <c r="A105" s="8">
        <v>35</v>
      </c>
      <c r="B105" s="8"/>
      <c r="C105" s="8"/>
      <c r="D105" s="8" t="str">
        <f ca="1">IFERROR(__xludf.DUMMYFUNCTION("""COMPUTED_VALUE"""),"29/07/2024")</f>
        <v>29/07/2024</v>
      </c>
      <c r="E105" s="16" t="str">
        <f ca="1">IFERROR(__xludf.DUMMYFUNCTION("""COMPUTED_VALUE"""),"Player")</f>
        <v>Player</v>
      </c>
      <c r="F105" s="8" t="str">
        <f ca="1">IFERROR(__xludf.DUMMYFUNCTION("""COMPUTED_VALUE"""),"Garifullina, Leya")</f>
        <v>Garifullina, Leya</v>
      </c>
      <c r="G105" s="8" t="str">
        <f ca="1">IFERROR(__xludf.DUMMYFUNCTION("""COMPUTED_VALUE"""),"FID")</f>
        <v>FID</v>
      </c>
      <c r="H105" s="8"/>
      <c r="I105" s="8">
        <f ca="1">IFERROR(__xludf.DUMMYFUNCTION("""COMPUTED_VALUE"""),100)</f>
        <v>100</v>
      </c>
      <c r="J105" s="8"/>
      <c r="K105" s="8"/>
      <c r="L105" s="8" t="s">
        <v>5</v>
      </c>
      <c r="M105" s="8" t="str">
        <f ca="1">IFERROR(__xludf.DUMMYFUNCTION("""COMPUTED_VALUE"""),"SRB")</f>
        <v>SRB</v>
      </c>
      <c r="N105" s="16" t="str">
        <f ca="1">IFERROR(__xludf.DUMMYFUNCTION("""COMPUTED_VALUE"""),"Zepter")</f>
        <v>Zepter</v>
      </c>
      <c r="O105" s="8" t="str">
        <f ca="1">IFERROR(__xludf.DUMMYFUNCTION("""COMPUTED_VALUE"""),"Single")</f>
        <v>Single</v>
      </c>
      <c r="P105" s="8"/>
      <c r="Q105" s="8">
        <f ca="1">IFERROR(__xludf.DUMMYFUNCTION("""COMPUTED_VALUE"""),8)</f>
        <v>8</v>
      </c>
      <c r="R105" s="8">
        <f ca="1">IFERROR(__xludf.DUMMYFUNCTION("""COMPUTED_VALUE"""),832)</f>
        <v>832</v>
      </c>
      <c r="S105" s="8">
        <f ca="1">IFERROR(__xludf.DUMMYFUNCTION("""COMPUTED_VALUE"""),12.8)</f>
        <v>12.8</v>
      </c>
      <c r="T105" s="8">
        <f ca="1">IFERROR(__xludf.DUMMYFUNCTION("""COMPUTED_VALUE"""),844.8)</f>
        <v>844.8</v>
      </c>
      <c r="U105" s="8"/>
      <c r="V105" s="8"/>
      <c r="W105" s="8"/>
      <c r="X105" s="8"/>
      <c r="Y105" s="8"/>
      <c r="Z105" s="37"/>
      <c r="AA105" s="37" t="str">
        <f ca="1">IFERROR(__xludf.DUMMYFUNCTION("""COMPUTED_VALUE"""),"27/10/2024")</f>
        <v>27/10/2024</v>
      </c>
      <c r="AB105" s="64">
        <v>0.45833333333333331</v>
      </c>
    </row>
    <row r="106" spans="1:28" ht="14.55" customHeight="1" x14ac:dyDescent="0.3">
      <c r="A106" s="8">
        <v>36</v>
      </c>
      <c r="B106" s="8"/>
      <c r="C106" s="8"/>
      <c r="D106" s="8" t="str">
        <f ca="1">IFERROR(__xludf.DUMMYFUNCTION("""COMPUTED_VALUE"""),"14/08/2024")</f>
        <v>14/08/2024</v>
      </c>
      <c r="E106" s="16" t="str">
        <f ca="1">IFERROR(__xludf.DUMMYFUNCTION("""COMPUTED_VALUE"""),"Player")</f>
        <v>Player</v>
      </c>
      <c r="F106" s="8" t="str">
        <f ca="1">IFERROR(__xludf.DUMMYFUNCTION("""COMPUTED_VALUE"""),"Borisova, Borislava")</f>
        <v>Borisova, Borislava</v>
      </c>
      <c r="G106" s="8" t="str">
        <f ca="1">IFERROR(__xludf.DUMMYFUNCTION("""COMPUTED_VALUE"""),"SWE")</f>
        <v>SWE</v>
      </c>
      <c r="H106" s="8"/>
      <c r="I106" s="8">
        <f ca="1">IFERROR(__xludf.DUMMYFUNCTION("""COMPUTED_VALUE"""),100)</f>
        <v>100</v>
      </c>
      <c r="J106" s="8"/>
      <c r="K106" s="8"/>
      <c r="L106" s="8" t="str">
        <f ca="1">IFERROR(__xludf.DUMMYFUNCTION("""COMPUTED_VALUE"""),"Wasa SK")</f>
        <v>Wasa SK</v>
      </c>
      <c r="M106" s="8" t="str">
        <f ca="1">IFERROR(__xludf.DUMMYFUNCTION("""COMPUTED_VALUE"""),"SWE")</f>
        <v>SWE</v>
      </c>
      <c r="N106" s="16" t="str">
        <f ca="1">IFERROR(__xludf.DUMMYFUNCTION("""COMPUTED_VALUE"""),"Zepter")</f>
        <v>Zepter</v>
      </c>
      <c r="O106" s="8" t="str">
        <f ca="1">IFERROR(__xludf.DUMMYFUNCTION("""COMPUTED_VALUE"""),"Single")</f>
        <v>Single</v>
      </c>
      <c r="P106" s="8"/>
      <c r="Q106" s="8">
        <f ca="1">IFERROR(__xludf.DUMMYFUNCTION("""COMPUTED_VALUE"""),8)</f>
        <v>8</v>
      </c>
      <c r="R106" s="8">
        <f ca="1">IFERROR(__xludf.DUMMYFUNCTION("""COMPUTED_VALUE"""),832)</f>
        <v>832</v>
      </c>
      <c r="S106" s="8">
        <f ca="1">IFERROR(__xludf.DUMMYFUNCTION("""COMPUTED_VALUE"""),12.8)</f>
        <v>12.8</v>
      </c>
      <c r="T106" s="8">
        <f ca="1">IFERROR(__xludf.DUMMYFUNCTION("""COMPUTED_VALUE"""),844.8)</f>
        <v>844.8</v>
      </c>
      <c r="U106" s="8"/>
      <c r="V106" s="8"/>
      <c r="W106" s="8"/>
      <c r="X106" s="8" t="str">
        <f ca="1">IFERROR(__xludf.DUMMYFUNCTION("""COMPUTED_VALUE"""),"Tonanti ili Fontana")</f>
        <v>Tonanti ili Fontana</v>
      </c>
      <c r="Y106" s="8"/>
      <c r="Z106" s="37"/>
      <c r="AA106" s="37" t="str">
        <f ca="1">IFERROR(__xludf.DUMMYFUNCTION("""COMPUTED_VALUE"""),"27/10/2024")</f>
        <v>27/10/2024</v>
      </c>
      <c r="AB106" s="64">
        <v>0.45833333333333331</v>
      </c>
    </row>
    <row r="107" spans="1:28" ht="14.55" customHeight="1" x14ac:dyDescent="0.3">
      <c r="A107" s="8">
        <v>37</v>
      </c>
      <c r="B107" s="8"/>
      <c r="C107" s="8"/>
      <c r="D107" s="8" t="str">
        <f ca="1">IFERROR(__xludf.DUMMYFUNCTION("""COMPUTED_VALUE"""),"30/07/2024")</f>
        <v>30/07/2024</v>
      </c>
      <c r="E107" s="16" t="str">
        <f ca="1">IFERROR(__xludf.DUMMYFUNCTION("""COMPUTED_VALUE"""),"Player")</f>
        <v>Player</v>
      </c>
      <c r="F107" s="8" t="str">
        <f ca="1">IFERROR(__xludf.DUMMYFUNCTION("""COMPUTED_VALUE"""),"Diermair, Andreas")</f>
        <v>Diermair, Andreas</v>
      </c>
      <c r="G107" s="16" t="str">
        <f ca="1">IFERROR(__xludf.DUMMYFUNCTION("""COMPUTED_VALUE"""),"AUT")</f>
        <v>AUT</v>
      </c>
      <c r="H107" s="8"/>
      <c r="I107" s="8">
        <f ca="1">IFERROR(__xludf.DUMMYFUNCTION("""COMPUTED_VALUE"""),100)</f>
        <v>100</v>
      </c>
      <c r="J107" s="8"/>
      <c r="K107" s="8"/>
      <c r="L107" s="8" t="str">
        <f ca="1">IFERROR(__xludf.DUMMYFUNCTION("""COMPUTED_VALUE"""),"Malerei 2000 Rapid Feffernitz")</f>
        <v>Malerei 2000 Rapid Feffernitz</v>
      </c>
      <c r="M107" s="16" t="str">
        <f ca="1">IFERROR(__xludf.DUMMYFUNCTION("""COMPUTED_VALUE"""),"AUT")</f>
        <v>AUT</v>
      </c>
      <c r="N107" s="16" t="str">
        <f ca="1">IFERROR(__xludf.DUMMYFUNCTION("""COMPUTED_VALUE"""),"Zepter")</f>
        <v>Zepter</v>
      </c>
      <c r="O107" s="8" t="str">
        <f ca="1">IFERROR(__xludf.DUMMYFUNCTION("""COMPUTED_VALUE"""),"Schreiner P.")</f>
        <v>Schreiner P.</v>
      </c>
      <c r="P107" s="8">
        <f ca="1">IFERROR(__xludf.DUMMYFUNCTION("""COMPUTED_VALUE"""),82)</f>
        <v>82</v>
      </c>
      <c r="Q107" s="8">
        <f ca="1">IFERROR(__xludf.DUMMYFUNCTION("""COMPUTED_VALUE"""),10)</f>
        <v>10</v>
      </c>
      <c r="R107" s="8">
        <f ca="1">IFERROR(__xludf.DUMMYFUNCTION("""COMPUTED_VALUE"""),820)</f>
        <v>820</v>
      </c>
      <c r="S107" s="8">
        <f ca="1">IFERROR(__xludf.DUMMYFUNCTION("""COMPUTED_VALUE"""),16)</f>
        <v>16</v>
      </c>
      <c r="T107" s="8">
        <f ca="1">IFERROR(__xludf.DUMMYFUNCTION("""COMPUTED_VALUE"""),836)</f>
        <v>836</v>
      </c>
      <c r="U107" s="8"/>
      <c r="V107" s="8"/>
      <c r="W107" s="8"/>
      <c r="X107" s="8"/>
      <c r="Y107" s="8"/>
      <c r="Z107" s="37" t="str">
        <f ca="1">IFERROR(__xludf.DUMMYFUNCTION("""COMPUTED_VALUE"""),"OS 736")</f>
        <v>OS 736</v>
      </c>
      <c r="AA107" s="37" t="str">
        <f ca="1">IFERROR(__xludf.DUMMYFUNCTION("""COMPUTED_VALUE"""),"28/10/2024")</f>
        <v>28/10/2024</v>
      </c>
      <c r="AB107" s="64">
        <f ca="1">IFERROR(__xludf.DUMMYFUNCTION("""COMPUTED_VALUE"""),0.461805555555555)</f>
        <v>0.46180555555555503</v>
      </c>
    </row>
    <row r="108" spans="1:28" ht="14.55" customHeight="1" x14ac:dyDescent="0.3">
      <c r="A108" s="8">
        <v>38</v>
      </c>
      <c r="B108" s="8"/>
      <c r="C108" s="8"/>
      <c r="D108" s="8" t="str">
        <f ca="1">IFERROR(__xludf.DUMMYFUNCTION("""COMPUTED_VALUE"""),"30/07/2024")</f>
        <v>30/07/2024</v>
      </c>
      <c r="E108" s="16" t="str">
        <f ca="1">IFERROR(__xludf.DUMMYFUNCTION("""COMPUTED_VALUE"""),"Player")</f>
        <v>Player</v>
      </c>
      <c r="F108" s="8" t="str">
        <f ca="1">IFERROR(__xludf.DUMMYFUNCTION("""COMPUTED_VALUE"""),"Schreiner, Peter")</f>
        <v>Schreiner, Peter</v>
      </c>
      <c r="G108" s="16" t="str">
        <f ca="1">IFERROR(__xludf.DUMMYFUNCTION("""COMPUTED_VALUE"""),"AUT")</f>
        <v>AUT</v>
      </c>
      <c r="H108" s="8"/>
      <c r="I108" s="8">
        <f ca="1">IFERROR(__xludf.DUMMYFUNCTION("""COMPUTED_VALUE"""),100)</f>
        <v>100</v>
      </c>
      <c r="J108" s="8"/>
      <c r="K108" s="8"/>
      <c r="L108" s="8" t="str">
        <f ca="1">IFERROR(__xludf.DUMMYFUNCTION("""COMPUTED_VALUE"""),"Malerei 2000 Rapid Feffernitz")</f>
        <v>Malerei 2000 Rapid Feffernitz</v>
      </c>
      <c r="M108" s="16" t="str">
        <f ca="1">IFERROR(__xludf.DUMMYFUNCTION("""COMPUTED_VALUE"""),"AUT")</f>
        <v>AUT</v>
      </c>
      <c r="N108" s="16" t="str">
        <f ca="1">IFERROR(__xludf.DUMMYFUNCTION("""COMPUTED_VALUE"""),"Zepter")</f>
        <v>Zepter</v>
      </c>
      <c r="O108" s="8" t="str">
        <f ca="1">IFERROR(__xludf.DUMMYFUNCTION("""COMPUTED_VALUE"""),"Diermair A.")</f>
        <v>Diermair A.</v>
      </c>
      <c r="P108" s="8">
        <f ca="1">IFERROR(__xludf.DUMMYFUNCTION("""COMPUTED_VALUE"""),82)</f>
        <v>82</v>
      </c>
      <c r="Q108" s="8">
        <f ca="1">IFERROR(__xludf.DUMMYFUNCTION("""COMPUTED_VALUE"""),8)</f>
        <v>8</v>
      </c>
      <c r="R108" s="8">
        <f ca="1">IFERROR(__xludf.DUMMYFUNCTION("""COMPUTED_VALUE"""),656)</f>
        <v>656</v>
      </c>
      <c r="S108" s="8">
        <f ca="1">IFERROR(__xludf.DUMMYFUNCTION("""COMPUTED_VALUE"""),12.8)</f>
        <v>12.8</v>
      </c>
      <c r="T108" s="8">
        <f ca="1">IFERROR(__xludf.DUMMYFUNCTION("""COMPUTED_VALUE"""),668.8)</f>
        <v>668.8</v>
      </c>
      <c r="U108" s="8"/>
      <c r="V108" s="8"/>
      <c r="W108" s="8"/>
      <c r="X108" s="8"/>
      <c r="Y108" s="8"/>
      <c r="Z108" s="70" t="str">
        <f ca="1">IFERROR(__xludf.DUMMYFUNCTION("""COMPUTED_VALUE"""),"OS 736")</f>
        <v>OS 736</v>
      </c>
      <c r="AA108" s="37" t="str">
        <f ca="1">IFERROR(__xludf.DUMMYFUNCTION("""COMPUTED_VALUE"""),"27/10/2024")</f>
        <v>27/10/2024</v>
      </c>
      <c r="AB108" s="59">
        <f ca="1">IFERROR(__xludf.DUMMYFUNCTION("""COMPUTED_VALUE"""),0.461805555555555)</f>
        <v>0.46180555555555503</v>
      </c>
    </row>
    <row r="109" spans="1:28" ht="14.55" customHeight="1" x14ac:dyDescent="0.3">
      <c r="A109" s="8">
        <v>39</v>
      </c>
      <c r="B109" s="8"/>
      <c r="C109" s="8"/>
      <c r="D109" s="8" t="str">
        <f ca="1">IFERROR(__xludf.DUMMYFUNCTION("""COMPUTED_VALUE"""),"30/07/2024")</f>
        <v>30/07/2024</v>
      </c>
      <c r="E109" s="16" t="str">
        <f ca="1">IFERROR(__xludf.DUMMYFUNCTION("""COMPUTED_VALUE"""),"Player")</f>
        <v>Player</v>
      </c>
      <c r="F109" s="8" t="str">
        <f ca="1">IFERROR(__xludf.DUMMYFUNCTION("""COMPUTED_VALUE"""),"Pacher, Simon")</f>
        <v>Pacher, Simon</v>
      </c>
      <c r="G109" s="16" t="str">
        <f ca="1">IFERROR(__xludf.DUMMYFUNCTION("""COMPUTED_VALUE"""),"AUT")</f>
        <v>AUT</v>
      </c>
      <c r="H109" s="8"/>
      <c r="I109" s="8">
        <f ca="1">IFERROR(__xludf.DUMMYFUNCTION("""COMPUTED_VALUE"""),100)</f>
        <v>100</v>
      </c>
      <c r="J109" s="8"/>
      <c r="K109" s="8"/>
      <c r="L109" s="8" t="str">
        <f ca="1">IFERROR(__xludf.DUMMYFUNCTION("""COMPUTED_VALUE"""),"Malerei 2000 Rapid Feffernitz")</f>
        <v>Malerei 2000 Rapid Feffernitz</v>
      </c>
      <c r="M109" s="16" t="str">
        <f ca="1">IFERROR(__xludf.DUMMYFUNCTION("""COMPUTED_VALUE"""),"AUT")</f>
        <v>AUT</v>
      </c>
      <c r="N109" s="16" t="str">
        <f ca="1">IFERROR(__xludf.DUMMYFUNCTION("""COMPUTED_VALUE"""),"Zepter")</f>
        <v>Zepter</v>
      </c>
      <c r="O109" s="8" t="str">
        <f ca="1">IFERROR(__xludf.DUMMYFUNCTION("""COMPUTED_VALUE"""),"Löscher Leon")</f>
        <v>Löscher Leon</v>
      </c>
      <c r="P109" s="8">
        <f ca="1">IFERROR(__xludf.DUMMYFUNCTION("""COMPUTED_VALUE"""),82)</f>
        <v>82</v>
      </c>
      <c r="Q109" s="8">
        <f ca="1">IFERROR(__xludf.DUMMYFUNCTION("""COMPUTED_VALUE"""),10)</f>
        <v>10</v>
      </c>
      <c r="R109" s="8">
        <f ca="1">IFERROR(__xludf.DUMMYFUNCTION("""COMPUTED_VALUE"""),820)</f>
        <v>820</v>
      </c>
      <c r="S109" s="8">
        <f ca="1">IFERROR(__xludf.DUMMYFUNCTION("""COMPUTED_VALUE"""),16)</f>
        <v>16</v>
      </c>
      <c r="T109" s="8">
        <f ca="1">IFERROR(__xludf.DUMMYFUNCTION("""COMPUTED_VALUE"""),836)</f>
        <v>836</v>
      </c>
      <c r="U109" s="8"/>
      <c r="V109" s="8"/>
      <c r="W109" s="8"/>
      <c r="X109" s="8"/>
      <c r="Y109" s="8"/>
      <c r="Z109" s="37" t="str">
        <f ca="1">IFERROR(__xludf.DUMMYFUNCTION("""COMPUTED_VALUE"""),"OS 736")</f>
        <v>OS 736</v>
      </c>
      <c r="AA109" s="37" t="str">
        <f ca="1">IFERROR(__xludf.DUMMYFUNCTION("""COMPUTED_VALUE"""),"28/10/2024")</f>
        <v>28/10/2024</v>
      </c>
      <c r="AB109" s="64">
        <f ca="1">IFERROR(__xludf.DUMMYFUNCTION("""COMPUTED_VALUE"""),0.461805555555555)</f>
        <v>0.46180555555555503</v>
      </c>
    </row>
    <row r="110" spans="1:28" ht="14.55" customHeight="1" x14ac:dyDescent="0.3">
      <c r="A110" s="8">
        <v>40</v>
      </c>
      <c r="B110" s="8"/>
      <c r="C110" s="8"/>
      <c r="D110" s="8" t="str">
        <f ca="1">IFERROR(__xludf.DUMMYFUNCTION("""COMPUTED_VALUE"""),"30/07/2024")</f>
        <v>30/07/2024</v>
      </c>
      <c r="E110" s="16" t="str">
        <f ca="1">IFERROR(__xludf.DUMMYFUNCTION("""COMPUTED_VALUE"""),"Player")</f>
        <v>Player</v>
      </c>
      <c r="F110" s="8" t="str">
        <f ca="1">IFERROR(__xludf.DUMMYFUNCTION("""COMPUTED_VALUE"""),"Loescher, Leon")</f>
        <v>Loescher, Leon</v>
      </c>
      <c r="G110" s="16" t="str">
        <f ca="1">IFERROR(__xludf.DUMMYFUNCTION("""COMPUTED_VALUE"""),"AUT")</f>
        <v>AUT</v>
      </c>
      <c r="H110" s="8"/>
      <c r="I110" s="8">
        <f ca="1">IFERROR(__xludf.DUMMYFUNCTION("""COMPUTED_VALUE"""),100)</f>
        <v>100</v>
      </c>
      <c r="J110" s="8"/>
      <c r="K110" s="8"/>
      <c r="L110" s="8" t="str">
        <f ca="1">IFERROR(__xludf.DUMMYFUNCTION("""COMPUTED_VALUE"""),"Malerei 2000 Rapid Feffernitz")</f>
        <v>Malerei 2000 Rapid Feffernitz</v>
      </c>
      <c r="M110" s="16" t="str">
        <f ca="1">IFERROR(__xludf.DUMMYFUNCTION("""COMPUTED_VALUE"""),"AUT")</f>
        <v>AUT</v>
      </c>
      <c r="N110" s="16" t="str">
        <f ca="1">IFERROR(__xludf.DUMMYFUNCTION("""COMPUTED_VALUE"""),"Zepter")</f>
        <v>Zepter</v>
      </c>
      <c r="O110" s="8" t="str">
        <f ca="1">IFERROR(__xludf.DUMMYFUNCTION("""COMPUTED_VALUE"""),"Pacher Simon")</f>
        <v>Pacher Simon</v>
      </c>
      <c r="P110" s="8">
        <f ca="1">IFERROR(__xludf.DUMMYFUNCTION("""COMPUTED_VALUE"""),82)</f>
        <v>82</v>
      </c>
      <c r="Q110" s="8">
        <f ca="1">IFERROR(__xludf.DUMMYFUNCTION("""COMPUTED_VALUE"""),10)</f>
        <v>10</v>
      </c>
      <c r="R110" s="8">
        <f ca="1">IFERROR(__xludf.DUMMYFUNCTION("""COMPUTED_VALUE"""),820)</f>
        <v>820</v>
      </c>
      <c r="S110" s="8">
        <f ca="1">IFERROR(__xludf.DUMMYFUNCTION("""COMPUTED_VALUE"""),16)</f>
        <v>16</v>
      </c>
      <c r="T110" s="8">
        <f ca="1">IFERROR(__xludf.DUMMYFUNCTION("""COMPUTED_VALUE"""),836)</f>
        <v>836</v>
      </c>
      <c r="U110" s="8"/>
      <c r="V110" s="8"/>
      <c r="W110" s="8"/>
      <c r="X110" s="8"/>
      <c r="Y110" s="8"/>
      <c r="Z110" s="37" t="str">
        <f ca="1">IFERROR(__xludf.DUMMYFUNCTION("""COMPUTED_VALUE"""),"OS 736")</f>
        <v>OS 736</v>
      </c>
      <c r="AA110" s="37" t="str">
        <f ca="1">IFERROR(__xludf.DUMMYFUNCTION("""COMPUTED_VALUE"""),"28/10/2024")</f>
        <v>28/10/2024</v>
      </c>
      <c r="AB110" s="64">
        <f ca="1">IFERROR(__xludf.DUMMYFUNCTION("""COMPUTED_VALUE"""),0.461805555555555)</f>
        <v>0.46180555555555503</v>
      </c>
    </row>
    <row r="111" spans="1:28" ht="14.55" customHeight="1" x14ac:dyDescent="0.3">
      <c r="A111" s="8">
        <v>41</v>
      </c>
      <c r="B111" s="8"/>
      <c r="C111" s="8"/>
      <c r="D111" s="8" t="str">
        <f ca="1">IFERROR(__xludf.DUMMYFUNCTION("""COMPUTED_VALUE"""),"30/07/2024")</f>
        <v>30/07/2024</v>
      </c>
      <c r="E111" s="16" t="str">
        <f ca="1">IFERROR(__xludf.DUMMYFUNCTION("""COMPUTED_VALUE"""),"Player")</f>
        <v>Player</v>
      </c>
      <c r="F111" s="8" t="str">
        <f ca="1">IFERROR(__xludf.DUMMYFUNCTION("""COMPUTED_VALUE"""),"Tscharnuter, Noah")</f>
        <v>Tscharnuter, Noah</v>
      </c>
      <c r="G111" s="16" t="str">
        <f ca="1">IFERROR(__xludf.DUMMYFUNCTION("""COMPUTED_VALUE"""),"AUT")</f>
        <v>AUT</v>
      </c>
      <c r="H111" s="8"/>
      <c r="I111" s="8">
        <f ca="1">IFERROR(__xludf.DUMMYFUNCTION("""COMPUTED_VALUE"""),100)</f>
        <v>100</v>
      </c>
      <c r="J111" s="8"/>
      <c r="K111" s="8"/>
      <c r="L111" s="8" t="str">
        <f ca="1">IFERROR(__xludf.DUMMYFUNCTION("""COMPUTED_VALUE"""),"Malerei 2000 Rapid Feffernitz")</f>
        <v>Malerei 2000 Rapid Feffernitz</v>
      </c>
      <c r="M111" s="16" t="str">
        <f ca="1">IFERROR(__xludf.DUMMYFUNCTION("""COMPUTED_VALUE"""),"AUT")</f>
        <v>AUT</v>
      </c>
      <c r="N111" s="16" t="str">
        <f ca="1">IFERROR(__xludf.DUMMYFUNCTION("""COMPUTED_VALUE"""),"Zepter")</f>
        <v>Zepter</v>
      </c>
      <c r="O111" s="8"/>
      <c r="P111" s="8">
        <f ca="1">IFERROR(__xludf.DUMMYFUNCTION("""COMPUTED_VALUE"""),104)</f>
        <v>104</v>
      </c>
      <c r="Q111" s="8">
        <f ca="1">IFERROR(__xludf.DUMMYFUNCTION("""COMPUTED_VALUE"""),10)</f>
        <v>10</v>
      </c>
      <c r="R111" s="8">
        <f ca="1">IFERROR(__xludf.DUMMYFUNCTION("""COMPUTED_VALUE"""),1040)</f>
        <v>1040</v>
      </c>
      <c r="S111" s="8">
        <f ca="1">IFERROR(__xludf.DUMMYFUNCTION("""COMPUTED_VALUE"""),16)</f>
        <v>16</v>
      </c>
      <c r="T111" s="8">
        <f ca="1">IFERROR(__xludf.DUMMYFUNCTION("""COMPUTED_VALUE"""),1056)</f>
        <v>1056</v>
      </c>
      <c r="U111" s="8"/>
      <c r="V111" s="8"/>
      <c r="W111" s="8"/>
      <c r="X111" s="8"/>
      <c r="Y111" s="8"/>
      <c r="Z111" s="37" t="str">
        <f ca="1">IFERROR(__xludf.DUMMYFUNCTION("""COMPUTED_VALUE"""),"OS 736")</f>
        <v>OS 736</v>
      </c>
      <c r="AA111" s="37" t="str">
        <f ca="1">IFERROR(__xludf.DUMMYFUNCTION("""COMPUTED_VALUE"""),"28/10/2024")</f>
        <v>28/10/2024</v>
      </c>
      <c r="AB111" s="64">
        <f ca="1">IFERROR(__xludf.DUMMYFUNCTION("""COMPUTED_VALUE"""),0.461805555555555)</f>
        <v>0.46180555555555503</v>
      </c>
    </row>
    <row r="112" spans="1:28" ht="14.55" customHeight="1" x14ac:dyDescent="0.3">
      <c r="A112" s="8">
        <v>42</v>
      </c>
      <c r="B112" s="8"/>
      <c r="C112" s="8"/>
      <c r="D112" s="8" t="str">
        <f ca="1">IFERROR(__xludf.DUMMYFUNCTION("""COMPUTED_VALUE"""),"30/07/2024")</f>
        <v>30/07/2024</v>
      </c>
      <c r="E112" s="16" t="str">
        <f ca="1">IFERROR(__xludf.DUMMYFUNCTION("""COMPUTED_VALUE"""),"Player")</f>
        <v>Player</v>
      </c>
      <c r="F112" s="8" t="str">
        <f ca="1">IFERROR(__xludf.DUMMYFUNCTION("""COMPUTED_VALUE"""),"Tscharnuter, Hannes")</f>
        <v>Tscharnuter, Hannes</v>
      </c>
      <c r="G112" s="16" t="str">
        <f ca="1">IFERROR(__xludf.DUMMYFUNCTION("""COMPUTED_VALUE"""),"AUT")</f>
        <v>AUT</v>
      </c>
      <c r="H112" s="8"/>
      <c r="I112" s="8">
        <f ca="1">IFERROR(__xludf.DUMMYFUNCTION("""COMPUTED_VALUE"""),100)</f>
        <v>100</v>
      </c>
      <c r="J112" s="8"/>
      <c r="K112" s="8"/>
      <c r="L112" s="8" t="str">
        <f ca="1">IFERROR(__xludf.DUMMYFUNCTION("""COMPUTED_VALUE"""),"Malerei 2000 Rapid Feffernitz")</f>
        <v>Malerei 2000 Rapid Feffernitz</v>
      </c>
      <c r="M112" s="16" t="str">
        <f ca="1">IFERROR(__xludf.DUMMYFUNCTION("""COMPUTED_VALUE"""),"AUT")</f>
        <v>AUT</v>
      </c>
      <c r="N112" s="16" t="str">
        <f ca="1">IFERROR(__xludf.DUMMYFUNCTION("""COMPUTED_VALUE"""),"Zepter")</f>
        <v>Zepter</v>
      </c>
      <c r="O112" s="8" t="str">
        <f ca="1">IFERROR(__xludf.DUMMYFUNCTION("""COMPUTED_VALUE"""),"Tscharnuter M")</f>
        <v>Tscharnuter M</v>
      </c>
      <c r="P112" s="8">
        <f ca="1">IFERROR(__xludf.DUMMYFUNCTION("""COMPUTED_VALUE"""),82)</f>
        <v>82</v>
      </c>
      <c r="Q112" s="8">
        <f ca="1">IFERROR(__xludf.DUMMYFUNCTION("""COMPUTED_VALUE"""),10)</f>
        <v>10</v>
      </c>
      <c r="R112" s="8">
        <f ca="1">IFERROR(__xludf.DUMMYFUNCTION("""COMPUTED_VALUE"""),820)</f>
        <v>820</v>
      </c>
      <c r="S112" s="8">
        <f ca="1">IFERROR(__xludf.DUMMYFUNCTION("""COMPUTED_VALUE"""),16)</f>
        <v>16</v>
      </c>
      <c r="T112" s="8">
        <f ca="1">IFERROR(__xludf.DUMMYFUNCTION("""COMPUTED_VALUE"""),836)</f>
        <v>836</v>
      </c>
      <c r="U112" s="8"/>
      <c r="V112" s="8"/>
      <c r="W112" s="8"/>
      <c r="X112" s="8"/>
      <c r="Y112" s="8"/>
      <c r="Z112" s="37" t="str">
        <f ca="1">IFERROR(__xludf.DUMMYFUNCTION("""COMPUTED_VALUE"""),"OS 736")</f>
        <v>OS 736</v>
      </c>
      <c r="AA112" s="37" t="str">
        <f ca="1">IFERROR(__xludf.DUMMYFUNCTION("""COMPUTED_VALUE"""),"28/10/2024")</f>
        <v>28/10/2024</v>
      </c>
      <c r="AB112" s="64">
        <f ca="1">IFERROR(__xludf.DUMMYFUNCTION("""COMPUTED_VALUE"""),0.461805555555555)</f>
        <v>0.46180555555555503</v>
      </c>
    </row>
    <row r="113" spans="1:28" ht="14.55" customHeight="1" x14ac:dyDescent="0.3">
      <c r="A113" s="8">
        <v>43</v>
      </c>
      <c r="B113" s="8"/>
      <c r="C113" s="8"/>
      <c r="D113" s="8" t="str">
        <f ca="1">IFERROR(__xludf.DUMMYFUNCTION("""COMPUTED_VALUE"""),"30/07/2024")</f>
        <v>30/07/2024</v>
      </c>
      <c r="E113" s="16" t="str">
        <f ca="1">IFERROR(__xludf.DUMMYFUNCTION("""COMPUTED_VALUE"""),"Player")</f>
        <v>Player</v>
      </c>
      <c r="F113" s="8" t="str">
        <f ca="1">IFERROR(__xludf.DUMMYFUNCTION("""COMPUTED_VALUE"""),"Tscharnuter, Michaela")</f>
        <v>Tscharnuter, Michaela</v>
      </c>
      <c r="G113" s="16" t="str">
        <f ca="1">IFERROR(__xludf.DUMMYFUNCTION("""COMPUTED_VALUE"""),"AUT")</f>
        <v>AUT</v>
      </c>
      <c r="H113" s="8"/>
      <c r="I113" s="8">
        <f ca="1">IFERROR(__xludf.DUMMYFUNCTION("""COMPUTED_VALUE"""),100)</f>
        <v>100</v>
      </c>
      <c r="J113" s="8"/>
      <c r="K113" s="8"/>
      <c r="L113" s="8" t="str">
        <f ca="1">IFERROR(__xludf.DUMMYFUNCTION("""COMPUTED_VALUE"""),"Malerei 2000 Rapid Feffernitz")</f>
        <v>Malerei 2000 Rapid Feffernitz</v>
      </c>
      <c r="M113" s="16" t="str">
        <f ca="1">IFERROR(__xludf.DUMMYFUNCTION("""COMPUTED_VALUE"""),"AUT")</f>
        <v>AUT</v>
      </c>
      <c r="N113" s="16" t="str">
        <f ca="1">IFERROR(__xludf.DUMMYFUNCTION("""COMPUTED_VALUE"""),"Zepter")</f>
        <v>Zepter</v>
      </c>
      <c r="O113" s="8" t="str">
        <f ca="1">IFERROR(__xludf.DUMMYFUNCTION("""COMPUTED_VALUE"""),"Tscharnuter H")</f>
        <v>Tscharnuter H</v>
      </c>
      <c r="P113" s="8">
        <f ca="1">IFERROR(__xludf.DUMMYFUNCTION("""COMPUTED_VALUE"""),82)</f>
        <v>82</v>
      </c>
      <c r="Q113" s="8">
        <f ca="1">IFERROR(__xludf.DUMMYFUNCTION("""COMPUTED_VALUE"""),10)</f>
        <v>10</v>
      </c>
      <c r="R113" s="8">
        <f ca="1">IFERROR(__xludf.DUMMYFUNCTION("""COMPUTED_VALUE"""),820)</f>
        <v>820</v>
      </c>
      <c r="S113" s="8">
        <f ca="1">IFERROR(__xludf.DUMMYFUNCTION("""COMPUTED_VALUE"""),16)</f>
        <v>16</v>
      </c>
      <c r="T113" s="8">
        <f ca="1">IFERROR(__xludf.DUMMYFUNCTION("""COMPUTED_VALUE"""),836)</f>
        <v>836</v>
      </c>
      <c r="U113" s="8"/>
      <c r="V113" s="8"/>
      <c r="W113" s="8"/>
      <c r="X113" s="8"/>
      <c r="Y113" s="8"/>
      <c r="Z113" s="37" t="str">
        <f ca="1">IFERROR(__xludf.DUMMYFUNCTION("""COMPUTED_VALUE"""),"OS 736")</f>
        <v>OS 736</v>
      </c>
      <c r="AA113" s="37" t="str">
        <f ca="1">IFERROR(__xludf.DUMMYFUNCTION("""COMPUTED_VALUE"""),"28/10/2024")</f>
        <v>28/10/2024</v>
      </c>
      <c r="AB113" s="64">
        <f ca="1">IFERROR(__xludf.DUMMYFUNCTION("""COMPUTED_VALUE"""),0.461805555555555)</f>
        <v>0.46180555555555503</v>
      </c>
    </row>
    <row r="114" spans="1:28" ht="14.55" customHeight="1" x14ac:dyDescent="0.3">
      <c r="A114" s="8">
        <v>44</v>
      </c>
      <c r="B114" s="8"/>
      <c r="C114" s="8"/>
      <c r="D114" s="8" t="str">
        <f ca="1">IFERROR(__xludf.DUMMYFUNCTION("""COMPUTED_VALUE"""),"16/07/2024")</f>
        <v>16/07/2024</v>
      </c>
      <c r="E114" s="16" t="str">
        <f ca="1">IFERROR(__xludf.DUMMYFUNCTION("""COMPUTED_VALUE"""),"Player")</f>
        <v>Player</v>
      </c>
      <c r="F114" s="8" t="str">
        <f ca="1">IFERROR(__xludf.DUMMYFUNCTION("""COMPUTED_VALUE"""),"Navara, David")</f>
        <v>Navara, David</v>
      </c>
      <c r="G114" s="16" t="str">
        <f ca="1">IFERROR(__xludf.DUMMYFUNCTION("""COMPUTED_VALUE"""),"CZE")</f>
        <v>CZE</v>
      </c>
      <c r="H114" s="8"/>
      <c r="I114" s="8">
        <f ca="1">IFERROR(__xludf.DUMMYFUNCTION("""COMPUTED_VALUE"""),100)</f>
        <v>100</v>
      </c>
      <c r="J114" s="8"/>
      <c r="K114" s="8"/>
      <c r="L114" s="8" t="str">
        <f ca="1">IFERROR(__xludf.DUMMYFUNCTION("""COMPUTED_VALUE"""),"Novy Bor Chess Club")</f>
        <v>Novy Bor Chess Club</v>
      </c>
      <c r="M114" s="16" t="str">
        <f ca="1">IFERROR(__xludf.DUMMYFUNCTION("""COMPUTED_VALUE"""),"CZE")</f>
        <v>CZE</v>
      </c>
      <c r="N114" s="16" t="str">
        <f ca="1">IFERROR(__xludf.DUMMYFUNCTION("""COMPUTED_VALUE"""),"Fontana")</f>
        <v>Fontana</v>
      </c>
      <c r="O114" s="8"/>
      <c r="P114" s="8">
        <f ca="1">IFERROR(__xludf.DUMMYFUNCTION("""COMPUTED_VALUE"""),104)</f>
        <v>104</v>
      </c>
      <c r="Q114" s="8">
        <f ca="1">IFERROR(__xludf.DUMMYFUNCTION("""COMPUTED_VALUE"""),8)</f>
        <v>8</v>
      </c>
      <c r="R114" s="8">
        <f ca="1">IFERROR(__xludf.DUMMYFUNCTION("""COMPUTED_VALUE"""),832)</f>
        <v>832</v>
      </c>
      <c r="S114" s="8">
        <f ca="1">IFERROR(__xludf.DUMMYFUNCTION("""COMPUTED_VALUE"""),12.8)</f>
        <v>12.8</v>
      </c>
      <c r="T114" s="8">
        <f ca="1">IFERROR(__xludf.DUMMYFUNCTION("""COMPUTED_VALUE"""),844.8)</f>
        <v>844.8</v>
      </c>
      <c r="U114" s="8"/>
      <c r="V114" s="8"/>
      <c r="W114" s="8"/>
      <c r="X114" s="8"/>
      <c r="Y114" s="8"/>
      <c r="Z114" s="70" t="str">
        <f ca="1">IFERROR(__xludf.DUMMYFUNCTION("""COMPUTED_VALUE"""),"OS 0736")</f>
        <v>OS 0736</v>
      </c>
      <c r="AA114" s="37" t="str">
        <f ca="1">IFERROR(__xludf.DUMMYFUNCTION("""COMPUTED_VALUE"""),"27/10/2024")</f>
        <v>27/10/2024</v>
      </c>
      <c r="AB114" s="59">
        <f ca="1">IFERROR(__xludf.DUMMYFUNCTION("""COMPUTED_VALUE"""),0.461805555555555)</f>
        <v>0.46180555555555503</v>
      </c>
    </row>
    <row r="115" spans="1:28" ht="14.55" customHeight="1" x14ac:dyDescent="0.3">
      <c r="A115" s="8">
        <v>45</v>
      </c>
      <c r="B115" s="8"/>
      <c r="C115" s="8"/>
      <c r="D115" s="8" t="str">
        <f ca="1">IFERROR(__xludf.DUMMYFUNCTION("""COMPUTED_VALUE"""),"16/07/2024")</f>
        <v>16/07/2024</v>
      </c>
      <c r="E115" s="16" t="str">
        <f ca="1">IFERROR(__xludf.DUMMYFUNCTION("""COMPUTED_VALUE"""),"Player")</f>
        <v>Player</v>
      </c>
      <c r="F115" s="8" t="str">
        <f ca="1">IFERROR(__xludf.DUMMYFUNCTION("""COMPUTED_VALUE"""),"Nguyen, Thai Dai Van")</f>
        <v>Nguyen, Thai Dai Van</v>
      </c>
      <c r="G115" s="16" t="str">
        <f ca="1">IFERROR(__xludf.DUMMYFUNCTION("""COMPUTED_VALUE"""),"CZE")</f>
        <v>CZE</v>
      </c>
      <c r="H115" s="8"/>
      <c r="I115" s="8">
        <f ca="1">IFERROR(__xludf.DUMMYFUNCTION("""COMPUTED_VALUE"""),100)</f>
        <v>100</v>
      </c>
      <c r="J115" s="8"/>
      <c r="K115" s="8"/>
      <c r="L115" s="8" t="str">
        <f ca="1">IFERROR(__xludf.DUMMYFUNCTION("""COMPUTED_VALUE"""),"Novy Bor Chess Club")</f>
        <v>Novy Bor Chess Club</v>
      </c>
      <c r="M115" s="16" t="str">
        <f ca="1">IFERROR(__xludf.DUMMYFUNCTION("""COMPUTED_VALUE"""),"CZE")</f>
        <v>CZE</v>
      </c>
      <c r="N115" s="16" t="str">
        <f ca="1">IFERROR(__xludf.DUMMYFUNCTION("""COMPUTED_VALUE"""),"Fontana")</f>
        <v>Fontana</v>
      </c>
      <c r="O115" s="8"/>
      <c r="P115" s="8">
        <f ca="1">IFERROR(__xludf.DUMMYFUNCTION("""COMPUTED_VALUE"""),104)</f>
        <v>104</v>
      </c>
      <c r="Q115" s="8">
        <f ca="1">IFERROR(__xludf.DUMMYFUNCTION("""COMPUTED_VALUE"""),8)</f>
        <v>8</v>
      </c>
      <c r="R115" s="8">
        <f ca="1">IFERROR(__xludf.DUMMYFUNCTION("""COMPUTED_VALUE"""),832)</f>
        <v>832</v>
      </c>
      <c r="S115" s="8">
        <f ca="1">IFERROR(__xludf.DUMMYFUNCTION("""COMPUTED_VALUE"""),12.8)</f>
        <v>12.8</v>
      </c>
      <c r="T115" s="8">
        <f ca="1">IFERROR(__xludf.DUMMYFUNCTION("""COMPUTED_VALUE"""),844.8)</f>
        <v>844.8</v>
      </c>
      <c r="U115" s="8"/>
      <c r="V115" s="8"/>
      <c r="W115" s="8"/>
      <c r="X115" s="8"/>
      <c r="Y115" s="8"/>
      <c r="Z115" s="70" t="str">
        <f ca="1">IFERROR(__xludf.DUMMYFUNCTION("""COMPUTED_VALUE"""),"OS 0736")</f>
        <v>OS 0736</v>
      </c>
      <c r="AA115" s="37" t="str">
        <f ca="1">IFERROR(__xludf.DUMMYFUNCTION("""COMPUTED_VALUE"""),"27/10/2024")</f>
        <v>27/10/2024</v>
      </c>
      <c r="AB115" s="59">
        <f ca="1">IFERROR(__xludf.DUMMYFUNCTION("""COMPUTED_VALUE"""),0.461805555555555)</f>
        <v>0.46180555555555503</v>
      </c>
    </row>
    <row r="116" spans="1:28" ht="14.55" customHeight="1" x14ac:dyDescent="0.3">
      <c r="A116" s="8">
        <v>46</v>
      </c>
      <c r="B116" s="8"/>
      <c r="C116" s="8"/>
      <c r="D116" s="8" t="str">
        <f ca="1">IFERROR(__xludf.DUMMYFUNCTION("""COMPUTED_VALUE"""),"16/07/2024")</f>
        <v>16/07/2024</v>
      </c>
      <c r="E116" s="16" t="str">
        <f ca="1">IFERROR(__xludf.DUMMYFUNCTION("""COMPUTED_VALUE"""),"Player")</f>
        <v>Player</v>
      </c>
      <c r="F116" s="8" t="str">
        <f ca="1">IFERROR(__xludf.DUMMYFUNCTION("""COMPUTED_VALUE"""),"Vidit, Santosh Gujrathi")</f>
        <v>Vidit, Santosh Gujrathi</v>
      </c>
      <c r="G116" s="16" t="str">
        <f ca="1">IFERROR(__xludf.DUMMYFUNCTION("""COMPUTED_VALUE"""),"IND")</f>
        <v>IND</v>
      </c>
      <c r="H116" s="8"/>
      <c r="I116" s="8">
        <f ca="1">IFERROR(__xludf.DUMMYFUNCTION("""COMPUTED_VALUE"""),100)</f>
        <v>100</v>
      </c>
      <c r="J116" s="8"/>
      <c r="K116" s="8"/>
      <c r="L116" s="8" t="str">
        <f ca="1">IFERROR(__xludf.DUMMYFUNCTION("""COMPUTED_VALUE"""),"Novy Bor Chess Club")</f>
        <v>Novy Bor Chess Club</v>
      </c>
      <c r="M116" s="16" t="str">
        <f ca="1">IFERROR(__xludf.DUMMYFUNCTION("""COMPUTED_VALUE"""),"CZE")</f>
        <v>CZE</v>
      </c>
      <c r="N116" s="16" t="str">
        <f ca="1">IFERROR(__xludf.DUMMYFUNCTION("""COMPUTED_VALUE"""),"Fontana")</f>
        <v>Fontana</v>
      </c>
      <c r="O116" s="8"/>
      <c r="P116" s="8">
        <f ca="1">IFERROR(__xludf.DUMMYFUNCTION("""COMPUTED_VALUE"""),104)</f>
        <v>104</v>
      </c>
      <c r="Q116" s="8">
        <f ca="1">IFERROR(__xludf.DUMMYFUNCTION("""COMPUTED_VALUE"""),8)</f>
        <v>8</v>
      </c>
      <c r="R116" s="8">
        <f ca="1">IFERROR(__xludf.DUMMYFUNCTION("""COMPUTED_VALUE"""),832)</f>
        <v>832</v>
      </c>
      <c r="S116" s="8">
        <f ca="1">IFERROR(__xludf.DUMMYFUNCTION("""COMPUTED_VALUE"""),12.8)</f>
        <v>12.8</v>
      </c>
      <c r="T116" s="8">
        <f ca="1">IFERROR(__xludf.DUMMYFUNCTION("""COMPUTED_VALUE"""),844.8)</f>
        <v>844.8</v>
      </c>
      <c r="U116" s="8"/>
      <c r="V116" s="8"/>
      <c r="W116" s="8"/>
      <c r="X116" s="8"/>
      <c r="Y116" s="8"/>
      <c r="Z116" s="70" t="str">
        <f ca="1">IFERROR(__xludf.DUMMYFUNCTION("""COMPUTED_VALUE"""),"OS 0736")</f>
        <v>OS 0736</v>
      </c>
      <c r="AA116" s="37" t="str">
        <f ca="1">IFERROR(__xludf.DUMMYFUNCTION("""COMPUTED_VALUE"""),"27/10/2024")</f>
        <v>27/10/2024</v>
      </c>
      <c r="AB116" s="59">
        <f ca="1">IFERROR(__xludf.DUMMYFUNCTION("""COMPUTED_VALUE"""),0.461805555555555)</f>
        <v>0.46180555555555503</v>
      </c>
    </row>
    <row r="117" spans="1:28" ht="14.55" customHeight="1" x14ac:dyDescent="0.3">
      <c r="A117" s="8">
        <v>47</v>
      </c>
      <c r="B117" s="8"/>
      <c r="C117" s="8"/>
      <c r="D117" s="8" t="str">
        <f ca="1">IFERROR(__xludf.DUMMYFUNCTION("""COMPUTED_VALUE"""),"16/07/2024")</f>
        <v>16/07/2024</v>
      </c>
      <c r="E117" s="16" t="str">
        <f ca="1">IFERROR(__xludf.DUMMYFUNCTION("""COMPUTED_VALUE"""),"Player")</f>
        <v>Player</v>
      </c>
      <c r="F117" s="8" t="str">
        <f ca="1">IFERROR(__xludf.DUMMYFUNCTION("""COMPUTED_VALUE"""),"Harikrishna, Pentala")</f>
        <v>Harikrishna, Pentala</v>
      </c>
      <c r="G117" s="16" t="str">
        <f ca="1">IFERROR(__xludf.DUMMYFUNCTION("""COMPUTED_VALUE"""),"IND")</f>
        <v>IND</v>
      </c>
      <c r="H117" s="8"/>
      <c r="I117" s="8">
        <f ca="1">IFERROR(__xludf.DUMMYFUNCTION("""COMPUTED_VALUE"""),100)</f>
        <v>100</v>
      </c>
      <c r="J117" s="8"/>
      <c r="K117" s="8"/>
      <c r="L117" s="8" t="str">
        <f ca="1">IFERROR(__xludf.DUMMYFUNCTION("""COMPUTED_VALUE"""),"Novy Bor Chess Club")</f>
        <v>Novy Bor Chess Club</v>
      </c>
      <c r="M117" s="16" t="str">
        <f ca="1">IFERROR(__xludf.DUMMYFUNCTION("""COMPUTED_VALUE"""),"CZE")</f>
        <v>CZE</v>
      </c>
      <c r="N117" s="16" t="str">
        <f ca="1">IFERROR(__xludf.DUMMYFUNCTION("""COMPUTED_VALUE"""),"Fontana")</f>
        <v>Fontana</v>
      </c>
      <c r="O117" s="8"/>
      <c r="P117" s="8">
        <f ca="1">IFERROR(__xludf.DUMMYFUNCTION("""COMPUTED_VALUE"""),104)</f>
        <v>104</v>
      </c>
      <c r="Q117" s="8">
        <f ca="1">IFERROR(__xludf.DUMMYFUNCTION("""COMPUTED_VALUE"""),8)</f>
        <v>8</v>
      </c>
      <c r="R117" s="8">
        <f ca="1">IFERROR(__xludf.DUMMYFUNCTION("""COMPUTED_VALUE"""),832)</f>
        <v>832</v>
      </c>
      <c r="S117" s="8">
        <f ca="1">IFERROR(__xludf.DUMMYFUNCTION("""COMPUTED_VALUE"""),12.8)</f>
        <v>12.8</v>
      </c>
      <c r="T117" s="8">
        <f ca="1">IFERROR(__xludf.DUMMYFUNCTION("""COMPUTED_VALUE"""),844.8)</f>
        <v>844.8</v>
      </c>
      <c r="U117" s="8"/>
      <c r="V117" s="8"/>
      <c r="W117" s="8"/>
      <c r="X117" s="8"/>
      <c r="Y117" s="8"/>
      <c r="Z117" s="70" t="str">
        <f ca="1">IFERROR(__xludf.DUMMYFUNCTION("""COMPUTED_VALUE"""),"OS 0736")</f>
        <v>OS 0736</v>
      </c>
      <c r="AA117" s="37" t="str">
        <f ca="1">IFERROR(__xludf.DUMMYFUNCTION("""COMPUTED_VALUE"""),"27/10/2024")</f>
        <v>27/10/2024</v>
      </c>
      <c r="AB117" s="59">
        <f ca="1">IFERROR(__xludf.DUMMYFUNCTION("""COMPUTED_VALUE"""),0.461805555555555)</f>
        <v>0.46180555555555503</v>
      </c>
    </row>
    <row r="118" spans="1:28" ht="14.55" customHeight="1" x14ac:dyDescent="0.3">
      <c r="A118" s="8">
        <v>48</v>
      </c>
      <c r="B118" s="8"/>
      <c r="C118" s="8"/>
      <c r="D118" s="8" t="str">
        <f ca="1">IFERROR(__xludf.DUMMYFUNCTION("""COMPUTED_VALUE"""),"16/07/2024")</f>
        <v>16/07/2024</v>
      </c>
      <c r="E118" s="16" t="s">
        <v>0</v>
      </c>
      <c r="F118" s="8" t="str">
        <f ca="1">IFERROR(__xludf.DUMMYFUNCTION("""COMPUTED_VALUE"""),"Boleslav, Petr")</f>
        <v>Boleslav, Petr</v>
      </c>
      <c r="G118" s="16" t="str">
        <f ca="1">IFERROR(__xludf.DUMMYFUNCTION("""COMPUTED_VALUE"""),"CZE")</f>
        <v>CZE</v>
      </c>
      <c r="H118" s="8"/>
      <c r="I118" s="8">
        <f ca="1">IFERROR(__xludf.DUMMYFUNCTION("""COMPUTED_VALUE"""),100)</f>
        <v>100</v>
      </c>
      <c r="J118" s="8"/>
      <c r="K118" s="8"/>
      <c r="L118" s="8" t="str">
        <f ca="1">IFERROR(__xludf.DUMMYFUNCTION("""COMPUTED_VALUE"""),"Novy Bor Chess Club")</f>
        <v>Novy Bor Chess Club</v>
      </c>
      <c r="M118" s="16" t="str">
        <f ca="1">IFERROR(__xludf.DUMMYFUNCTION("""COMPUTED_VALUE"""),"CZE")</f>
        <v>CZE</v>
      </c>
      <c r="N118" s="16" t="str">
        <f ca="1">IFERROR(__xludf.DUMMYFUNCTION("""COMPUTED_VALUE"""),"Fontana")</f>
        <v>Fontana</v>
      </c>
      <c r="O118" s="8"/>
      <c r="P118" s="8">
        <f ca="1">IFERROR(__xludf.DUMMYFUNCTION("""COMPUTED_VALUE"""),104)</f>
        <v>104</v>
      </c>
      <c r="Q118" s="8">
        <f ca="1">IFERROR(__xludf.DUMMYFUNCTION("""COMPUTED_VALUE"""),8)</f>
        <v>8</v>
      </c>
      <c r="R118" s="8">
        <f ca="1">IFERROR(__xludf.DUMMYFUNCTION("""COMPUTED_VALUE"""),832)</f>
        <v>832</v>
      </c>
      <c r="S118" s="8">
        <f ca="1">IFERROR(__xludf.DUMMYFUNCTION("""COMPUTED_VALUE"""),12.8)</f>
        <v>12.8</v>
      </c>
      <c r="T118" s="8">
        <f ca="1">IFERROR(__xludf.DUMMYFUNCTION("""COMPUTED_VALUE"""),844.8)</f>
        <v>844.8</v>
      </c>
      <c r="U118" s="8"/>
      <c r="V118" s="8"/>
      <c r="W118" s="8"/>
      <c r="X118" s="8"/>
      <c r="Y118" s="8"/>
      <c r="Z118" s="70" t="str">
        <f ca="1">IFERROR(__xludf.DUMMYFUNCTION("""COMPUTED_VALUE"""),"OS 0736")</f>
        <v>OS 0736</v>
      </c>
      <c r="AA118" s="37" t="str">
        <f ca="1">IFERROR(__xludf.DUMMYFUNCTION("""COMPUTED_VALUE"""),"27/10/2024")</f>
        <v>27/10/2024</v>
      </c>
      <c r="AB118" s="59">
        <f ca="1">IFERROR(__xludf.DUMMYFUNCTION("""COMPUTED_VALUE"""),0.461805555555555)</f>
        <v>0.46180555555555503</v>
      </c>
    </row>
    <row r="119" spans="1:28" ht="14.55" customHeight="1" x14ac:dyDescent="0.3">
      <c r="A119" s="8">
        <v>49</v>
      </c>
      <c r="B119" s="8"/>
      <c r="C119" s="8"/>
      <c r="D119" s="8" t="str">
        <f ca="1">IFERROR(__xludf.DUMMYFUNCTION("""COMPUTED_VALUE"""),"16/07/2024")</f>
        <v>16/07/2024</v>
      </c>
      <c r="E119" s="16" t="s">
        <v>0</v>
      </c>
      <c r="F119" s="8" t="str">
        <f ca="1">IFERROR(__xludf.DUMMYFUNCTION("""COMPUTED_VALUE"""),"Muzik, Roman")</f>
        <v>Muzik, Roman</v>
      </c>
      <c r="G119" s="16" t="str">
        <f ca="1">IFERROR(__xludf.DUMMYFUNCTION("""COMPUTED_VALUE"""),"CZE")</f>
        <v>CZE</v>
      </c>
      <c r="H119" s="8"/>
      <c r="I119" s="8">
        <f ca="1">IFERROR(__xludf.DUMMYFUNCTION("""COMPUTED_VALUE"""),100)</f>
        <v>100</v>
      </c>
      <c r="J119" s="8"/>
      <c r="K119" s="8"/>
      <c r="L119" s="8" t="str">
        <f ca="1">IFERROR(__xludf.DUMMYFUNCTION("""COMPUTED_VALUE"""),"Novy Bor Chess Club")</f>
        <v>Novy Bor Chess Club</v>
      </c>
      <c r="M119" s="16" t="str">
        <f ca="1">IFERROR(__xludf.DUMMYFUNCTION("""COMPUTED_VALUE"""),"CZE")</f>
        <v>CZE</v>
      </c>
      <c r="N119" s="16" t="str">
        <f ca="1">IFERROR(__xludf.DUMMYFUNCTION("""COMPUTED_VALUE"""),"Fontana")</f>
        <v>Fontana</v>
      </c>
      <c r="O119" s="8"/>
      <c r="P119" s="8">
        <f ca="1">IFERROR(__xludf.DUMMYFUNCTION("""COMPUTED_VALUE"""),104)</f>
        <v>104</v>
      </c>
      <c r="Q119" s="8">
        <f ca="1">IFERROR(__xludf.DUMMYFUNCTION("""COMPUTED_VALUE"""),8)</f>
        <v>8</v>
      </c>
      <c r="R119" s="8">
        <f ca="1">IFERROR(__xludf.DUMMYFUNCTION("""COMPUTED_VALUE"""),832)</f>
        <v>832</v>
      </c>
      <c r="S119" s="8">
        <f ca="1">IFERROR(__xludf.DUMMYFUNCTION("""COMPUTED_VALUE"""),12.8)</f>
        <v>12.8</v>
      </c>
      <c r="T119" s="8">
        <f ca="1">IFERROR(__xludf.DUMMYFUNCTION("""COMPUTED_VALUE"""),844.8)</f>
        <v>844.8</v>
      </c>
      <c r="U119" s="8"/>
      <c r="V119" s="8"/>
      <c r="W119" s="8"/>
      <c r="X119" s="8"/>
      <c r="Y119" s="8"/>
      <c r="Z119" s="70" t="str">
        <f ca="1">IFERROR(__xludf.DUMMYFUNCTION("""COMPUTED_VALUE"""),"OS 0736")</f>
        <v>OS 0736</v>
      </c>
      <c r="AA119" s="37" t="str">
        <f ca="1">IFERROR(__xludf.DUMMYFUNCTION("""COMPUTED_VALUE"""),"27/10/2024")</f>
        <v>27/10/2024</v>
      </c>
      <c r="AB119" s="59">
        <f ca="1">IFERROR(__xludf.DUMMYFUNCTION("""COMPUTED_VALUE"""),0.461805555555555)</f>
        <v>0.46180555555555503</v>
      </c>
    </row>
    <row r="120" spans="1:28" ht="14.55" customHeight="1" x14ac:dyDescent="0.3">
      <c r="A120" s="8">
        <v>50</v>
      </c>
      <c r="B120" s="8"/>
      <c r="C120" s="8"/>
      <c r="D120" s="8" t="str">
        <f ca="1">IFERROR(__xludf.DUMMYFUNCTION("""COMPUTED_VALUE"""),"15/08/2024")</f>
        <v>15/08/2024</v>
      </c>
      <c r="E120" s="16" t="str">
        <f ca="1">IFERROR(__xludf.DUMMYFUNCTION("""COMPUTED_VALUE"""),"Player")</f>
        <v>Player</v>
      </c>
      <c r="F120" s="8" t="str">
        <f ca="1">IFERROR(__xludf.DUMMYFUNCTION("""COMPUTED_VALUE"""),"Bu, Xiangzhi")</f>
        <v>Bu, Xiangzhi</v>
      </c>
      <c r="G120" s="16" t="str">
        <f ca="1">IFERROR(__xludf.DUMMYFUNCTION("""COMPUTED_VALUE"""),"CHN")</f>
        <v>CHN</v>
      </c>
      <c r="H120" s="8"/>
      <c r="I120" s="8">
        <f ca="1">IFERROR(__xludf.DUMMYFUNCTION("""COMPUTED_VALUE"""),100)</f>
        <v>100</v>
      </c>
      <c r="J120" s="8"/>
      <c r="K120" s="8"/>
      <c r="L120" s="8" t="str">
        <f ca="1">IFERROR(__xludf.DUMMYFUNCTION("""COMPUTED_VALUE"""),"Bayegan Pendik")</f>
        <v>Bayegan Pendik</v>
      </c>
      <c r="M120" s="16" t="str">
        <f ca="1">IFERROR(__xludf.DUMMYFUNCTION("""COMPUTED_VALUE"""),"TUR")</f>
        <v>TUR</v>
      </c>
      <c r="N120" s="16" t="str">
        <f ca="1">IFERROR(__xludf.DUMMYFUNCTION("""COMPUTED_VALUE"""),"Tonanti")</f>
        <v>Tonanti</v>
      </c>
      <c r="O120" s="8"/>
      <c r="P120" s="8">
        <f ca="1">IFERROR(__xludf.DUMMYFUNCTION("""COMPUTED_VALUE"""),108)</f>
        <v>108</v>
      </c>
      <c r="Q120" s="8">
        <f ca="1">IFERROR(__xludf.DUMMYFUNCTION("""COMPUTED_VALUE"""),8)</f>
        <v>8</v>
      </c>
      <c r="R120" s="8">
        <f ca="1">IFERROR(__xludf.DUMMYFUNCTION("""COMPUTED_VALUE"""),864)</f>
        <v>864</v>
      </c>
      <c r="S120" s="8">
        <f ca="1">IFERROR(__xludf.DUMMYFUNCTION("""COMPUTED_VALUE"""),12.8)</f>
        <v>12.8</v>
      </c>
      <c r="T120" s="8">
        <f ca="1">IFERROR(__xludf.DUMMYFUNCTION("""COMPUTED_VALUE"""),876.8)</f>
        <v>876.8</v>
      </c>
      <c r="U120" s="8"/>
      <c r="V120" s="8"/>
      <c r="W120" s="8"/>
      <c r="X120" s="8"/>
      <c r="Y120" s="8"/>
      <c r="Z120" s="70" t="str">
        <f ca="1">IFERROR(__xludf.DUMMYFUNCTION("""COMPUTED_VALUE"""),"3R6TR")</f>
        <v>3R6TR</v>
      </c>
      <c r="AA120" s="37" t="str">
        <f ca="1">IFERROR(__xludf.DUMMYFUNCTION("""COMPUTED_VALUE"""),"27/10/2024")</f>
        <v>27/10/2024</v>
      </c>
      <c r="AB120" s="59">
        <f ca="1">IFERROR(__xludf.DUMMYFUNCTION("""COMPUTED_VALUE"""),0.472222222222222)</f>
        <v>0.47222222222222199</v>
      </c>
    </row>
    <row r="121" spans="1:28" ht="14.55" customHeight="1" x14ac:dyDescent="0.3">
      <c r="A121" s="8">
        <v>51</v>
      </c>
      <c r="B121" s="8"/>
      <c r="C121" s="8"/>
      <c r="D121" s="8" t="str">
        <f ca="1">IFERROR(__xludf.DUMMYFUNCTION("""COMPUTED_VALUE"""),"23/08/2024")</f>
        <v>23/08/2024</v>
      </c>
      <c r="E121" s="16" t="str">
        <f ca="1">IFERROR(__xludf.DUMMYFUNCTION("""COMPUTED_VALUE"""),"Player")</f>
        <v>Player</v>
      </c>
      <c r="F121" s="8" t="str">
        <f ca="1">IFERROR(__xludf.DUMMYFUNCTION("""COMPUTED_VALUE"""),"Divya Deshmukh")</f>
        <v>Divya Deshmukh</v>
      </c>
      <c r="G121" s="8" t="str">
        <f ca="1">IFERROR(__xludf.DUMMYFUNCTION("""COMPUTED_VALUE"""),"IND")</f>
        <v>IND</v>
      </c>
      <c r="H121" s="8"/>
      <c r="I121" s="8">
        <f ca="1">IFERROR(__xludf.DUMMYFUNCTION("""COMPUTED_VALUE"""),100)</f>
        <v>100</v>
      </c>
      <c r="J121" s="8"/>
      <c r="K121" s="8"/>
      <c r="L121" s="8" t="str">
        <f ca="1">IFERROR(__xludf.DUMMYFUNCTION("""COMPUTED_VALUE"""),"Garuda Ajka BSK")</f>
        <v>Garuda Ajka BSK</v>
      </c>
      <c r="M121" s="8" t="str">
        <f ca="1">IFERROR(__xludf.DUMMYFUNCTION("""COMPUTED_VALUE"""),"HUN")</f>
        <v>HUN</v>
      </c>
      <c r="N121" s="16" t="str">
        <f ca="1">IFERROR(__xludf.DUMMYFUNCTION("""COMPUTED_VALUE"""),"Terme")</f>
        <v>Terme</v>
      </c>
      <c r="O121" s="8" t="str">
        <f ca="1">IFERROR(__xludf.DUMMYFUNCTION("""COMPUTED_VALUE"""),"Single")</f>
        <v>Single</v>
      </c>
      <c r="P121" s="8"/>
      <c r="Q121" s="8">
        <f ca="1">IFERROR(__xludf.DUMMYFUNCTION("""COMPUTED_VALUE"""),8)</f>
        <v>8</v>
      </c>
      <c r="R121" s="8">
        <f ca="1">IFERROR(__xludf.DUMMYFUNCTION("""COMPUTED_VALUE"""),832)</f>
        <v>832</v>
      </c>
      <c r="S121" s="8">
        <f ca="1">IFERROR(__xludf.DUMMYFUNCTION("""COMPUTED_VALUE"""),12.8)</f>
        <v>12.8</v>
      </c>
      <c r="T121" s="8">
        <f ca="1">IFERROR(__xludf.DUMMYFUNCTION("""COMPUTED_VALUE"""),844.8)</f>
        <v>844.8</v>
      </c>
      <c r="U121" s="8"/>
      <c r="V121" s="8"/>
      <c r="W121" s="8"/>
      <c r="X121" s="8" t="str">
        <f ca="1">IFERROR(__xludf.DUMMYFUNCTION("""COMPUTED_VALUE"""),"double to single")</f>
        <v>double to single</v>
      </c>
      <c r="Y121" s="8"/>
      <c r="Z121" s="37" t="str">
        <f ca="1">IFERROR(__xludf.DUMMYFUNCTION("""COMPUTED_VALUE"""),"PC374")</f>
        <v>PC374</v>
      </c>
      <c r="AA121" s="37" t="str">
        <f ca="1">IFERROR(__xludf.DUMMYFUNCTION("""COMPUTED_VALUE"""),"27/10/2024")</f>
        <v>27/10/2024</v>
      </c>
      <c r="AB121" s="64">
        <f ca="1">IFERROR(__xludf.DUMMYFUNCTION("""COMPUTED_VALUE"""),0.472222222222222)</f>
        <v>0.47222222222222199</v>
      </c>
    </row>
    <row r="122" spans="1:28" ht="14.55" customHeight="1" x14ac:dyDescent="0.3">
      <c r="A122" s="8">
        <v>52</v>
      </c>
      <c r="B122" s="8"/>
      <c r="C122" s="8"/>
      <c r="D122" s="8" t="str">
        <f ca="1">IFERROR(__xludf.DUMMYFUNCTION("""COMPUTED_VALUE"""),"31/07/2024")</f>
        <v>31/07/2024</v>
      </c>
      <c r="E122" s="16" t="str">
        <f ca="1">IFERROR(__xludf.DUMMYFUNCTION("""COMPUTED_VALUE"""),"Player")</f>
        <v>Player</v>
      </c>
      <c r="F122" s="8" t="str">
        <f ca="1">IFERROR(__xludf.DUMMYFUNCTION("""COMPUTED_VALUE"""),"Sokolovsky, Yahli")</f>
        <v>Sokolovsky, Yahli</v>
      </c>
      <c r="G122" s="16" t="str">
        <f ca="1">IFERROR(__xludf.DUMMYFUNCTION("""COMPUTED_VALUE"""),"ISR")</f>
        <v>ISR</v>
      </c>
      <c r="H122" s="8"/>
      <c r="I122" s="8">
        <f ca="1">IFERROR(__xludf.DUMMYFUNCTION("""COMPUTED_VALUE"""),100)</f>
        <v>100</v>
      </c>
      <c r="J122" s="8"/>
      <c r="K122" s="8"/>
      <c r="L122" s="8" t="str">
        <f ca="1">IFERROR(__xludf.DUMMYFUNCTION("""COMPUTED_VALUE"""),"Rishon Le Zion A")</f>
        <v>Rishon Le Zion A</v>
      </c>
      <c r="M122" s="16" t="str">
        <f ca="1">IFERROR(__xludf.DUMMYFUNCTION("""COMPUTED_VALUE"""),"ISR")</f>
        <v>ISR</v>
      </c>
      <c r="N122" s="16" t="str">
        <f ca="1">IFERROR(__xludf.DUMMYFUNCTION("""COMPUTED_VALUE"""),"Fontana")</f>
        <v>Fontana</v>
      </c>
      <c r="O122" s="8" t="str">
        <f ca="1">IFERROR(__xludf.DUMMYFUNCTION("""COMPUTED_VALUE"""),"Zemach Nadav")</f>
        <v>Zemach Nadav</v>
      </c>
      <c r="P122" s="8">
        <f ca="1">IFERROR(__xludf.DUMMYFUNCTION("""COMPUTED_VALUE"""),84)</f>
        <v>84</v>
      </c>
      <c r="Q122" s="8">
        <f ca="1">IFERROR(__xludf.DUMMYFUNCTION("""COMPUTED_VALUE"""),8)</f>
        <v>8</v>
      </c>
      <c r="R122" s="8">
        <f ca="1">IFERROR(__xludf.DUMMYFUNCTION("""COMPUTED_VALUE"""),672)</f>
        <v>672</v>
      </c>
      <c r="S122" s="8">
        <f ca="1">IFERROR(__xludf.DUMMYFUNCTION("""COMPUTED_VALUE"""),12.8)</f>
        <v>12.8</v>
      </c>
      <c r="T122" s="8">
        <f ca="1">IFERROR(__xludf.DUMMYFUNCTION("""COMPUTED_VALUE"""),684.8)</f>
        <v>684.8</v>
      </c>
      <c r="U122" s="8"/>
      <c r="V122" s="8"/>
      <c r="W122" s="8"/>
      <c r="X122" s="8"/>
      <c r="Y122" s="8"/>
      <c r="Z122" s="70" t="str">
        <f ca="1">IFERROR(__xludf.DUMMYFUNCTION("""COMPUTED_VALUE"""),"LY0552")</f>
        <v>LY0552</v>
      </c>
      <c r="AA122" s="37" t="str">
        <f ca="1">IFERROR(__xludf.DUMMYFUNCTION("""COMPUTED_VALUE"""),"27/10/2024")</f>
        <v>27/10/2024</v>
      </c>
      <c r="AB122" s="59">
        <f ca="1">IFERROR(__xludf.DUMMYFUNCTION("""COMPUTED_VALUE"""),0.472222222222222)</f>
        <v>0.47222222222222199</v>
      </c>
    </row>
    <row r="123" spans="1:28" ht="14.55" customHeight="1" x14ac:dyDescent="0.3">
      <c r="A123" s="8">
        <v>53</v>
      </c>
      <c r="B123" s="8"/>
      <c r="C123" s="8"/>
      <c r="D123" s="8" t="str">
        <f ca="1">IFERROR(__xludf.DUMMYFUNCTION("""COMPUTED_VALUE"""),"19/08/2024")</f>
        <v>19/08/2024</v>
      </c>
      <c r="E123" s="16" t="str">
        <f ca="1">IFERROR(__xludf.DUMMYFUNCTION("""COMPUTED_VALUE"""),"Player")</f>
        <v>Player</v>
      </c>
      <c r="F123" s="8" t="str">
        <f ca="1">IFERROR(__xludf.DUMMYFUNCTION("""COMPUTED_VALUE"""),"Senel, Hayri Beyhun")</f>
        <v>Senel, Hayri Beyhun</v>
      </c>
      <c r="G123" s="16" t="str">
        <f ca="1">IFERROR(__xludf.DUMMYFUNCTION("""COMPUTED_VALUE"""),"TUR")</f>
        <v>TUR</v>
      </c>
      <c r="H123" s="8"/>
      <c r="I123" s="8">
        <f ca="1">IFERROR(__xludf.DUMMYFUNCTION("""COMPUTED_VALUE"""),100)</f>
        <v>100</v>
      </c>
      <c r="J123" s="8"/>
      <c r="K123" s="8"/>
      <c r="L123" s="8" t="str">
        <f ca="1">IFERROR(__xludf.DUMMYFUNCTION("""COMPUTED_VALUE"""),"Radnicki")</f>
        <v>Radnicki</v>
      </c>
      <c r="M123" s="16" t="str">
        <f ca="1">IFERROR(__xludf.DUMMYFUNCTION("""COMPUTED_VALUE"""),"SRB")</f>
        <v>SRB</v>
      </c>
      <c r="N123" s="16" t="str">
        <f ca="1">IFERROR(__xludf.DUMMYFUNCTION("""COMPUTED_VALUE"""),"Terme")</f>
        <v>Terme</v>
      </c>
      <c r="O123" s="8"/>
      <c r="P123" s="8"/>
      <c r="Q123" s="8">
        <f ca="1">IFERROR(__xludf.DUMMYFUNCTION("""COMPUTED_VALUE"""),8)</f>
        <v>8</v>
      </c>
      <c r="R123" s="8">
        <f ca="1">IFERROR(__xludf.DUMMYFUNCTION("""COMPUTED_VALUE"""),0)</f>
        <v>0</v>
      </c>
      <c r="S123" s="8">
        <f ca="1">IFERROR(__xludf.DUMMYFUNCTION("""COMPUTED_VALUE"""),12.8)</f>
        <v>12.8</v>
      </c>
      <c r="T123" s="8">
        <f ca="1">IFERROR(__xludf.DUMMYFUNCTION("""COMPUTED_VALUE"""),12.8)</f>
        <v>12.8</v>
      </c>
      <c r="U123" s="8"/>
      <c r="V123" s="8"/>
      <c r="W123" s="8"/>
      <c r="X123" s="8"/>
      <c r="Y123" s="8"/>
      <c r="Z123" s="70" t="s">
        <v>36</v>
      </c>
      <c r="AA123" s="37" t="str">
        <f ca="1">IFERROR(__xludf.DUMMYFUNCTION("""COMPUTED_VALUE"""),"27/10/2024")</f>
        <v>27/10/2024</v>
      </c>
      <c r="AB123" s="59">
        <v>0.47222222222222227</v>
      </c>
    </row>
    <row r="124" spans="1:28" ht="14.55" customHeight="1" x14ac:dyDescent="0.3">
      <c r="A124" s="8">
        <v>54</v>
      </c>
      <c r="B124" s="8"/>
      <c r="C124" s="8"/>
      <c r="D124" s="8" t="str">
        <f ca="1">IFERROR(__xludf.DUMMYFUNCTION("""COMPUTED_VALUE"""),"23/08/2024")</f>
        <v>23/08/2024</v>
      </c>
      <c r="E124" s="16"/>
      <c r="F124" s="8" t="str">
        <f ca="1">IFERROR(__xludf.DUMMYFUNCTION("""COMPUTED_VALUE"""),"Senel, osoba2")</f>
        <v>Senel, osoba2</v>
      </c>
      <c r="G124" s="16" t="str">
        <f ca="1">IFERROR(__xludf.DUMMYFUNCTION("""COMPUTED_VALUE"""),"TUR")</f>
        <v>TUR</v>
      </c>
      <c r="H124" s="8"/>
      <c r="I124" s="8">
        <f ca="1">IFERROR(__xludf.DUMMYFUNCTION("""COMPUTED_VALUE"""),100)</f>
        <v>100</v>
      </c>
      <c r="J124" s="8"/>
      <c r="K124" s="8"/>
      <c r="L124" s="8" t="str">
        <f ca="1">IFERROR(__xludf.DUMMYFUNCTION("""COMPUTED_VALUE"""),"Radnicki")</f>
        <v>Radnicki</v>
      </c>
      <c r="M124" s="16" t="str">
        <f ca="1">IFERROR(__xludf.DUMMYFUNCTION("""COMPUTED_VALUE"""),"SRB")</f>
        <v>SRB</v>
      </c>
      <c r="N124" s="16" t="str">
        <f ca="1">IFERROR(__xludf.DUMMYFUNCTION("""COMPUTED_VALUE"""),"Terme")</f>
        <v>Terme</v>
      </c>
      <c r="O124" s="8"/>
      <c r="P124" s="8"/>
      <c r="Q124" s="8">
        <f ca="1">IFERROR(__xludf.DUMMYFUNCTION("""COMPUTED_VALUE"""),8)</f>
        <v>8</v>
      </c>
      <c r="R124" s="8">
        <f ca="1">IFERROR(__xludf.DUMMYFUNCTION("""COMPUTED_VALUE"""),0)</f>
        <v>0</v>
      </c>
      <c r="S124" s="8">
        <f ca="1">IFERROR(__xludf.DUMMYFUNCTION("""COMPUTED_VALUE"""),12.8)</f>
        <v>12.8</v>
      </c>
      <c r="T124" s="8">
        <f ca="1">IFERROR(__xludf.DUMMYFUNCTION("""COMPUTED_VALUE"""),12.8)</f>
        <v>12.8</v>
      </c>
      <c r="U124" s="8"/>
      <c r="V124" s="8"/>
      <c r="W124" s="8"/>
      <c r="X124" s="8"/>
      <c r="Y124" s="8"/>
      <c r="Z124" s="70" t="s">
        <v>36</v>
      </c>
      <c r="AA124" s="37" t="str">
        <f ca="1">IFERROR(__xludf.DUMMYFUNCTION("""COMPUTED_VALUE"""),"27/10/2024")</f>
        <v>27/10/2024</v>
      </c>
      <c r="AB124" s="59">
        <v>0.47222222222222227</v>
      </c>
    </row>
    <row r="125" spans="1:28" ht="14.55" customHeight="1" x14ac:dyDescent="0.3">
      <c r="A125" s="8">
        <v>55</v>
      </c>
      <c r="B125" s="8"/>
      <c r="C125" s="8"/>
      <c r="D125" s="8" t="str">
        <f ca="1">IFERROR(__xludf.DUMMYFUNCTION("""COMPUTED_VALUE"""),"19/08/2024")</f>
        <v>19/08/2024</v>
      </c>
      <c r="E125" s="16"/>
      <c r="F125" s="8" t="s">
        <v>37</v>
      </c>
      <c r="G125" s="16"/>
      <c r="H125" s="8"/>
      <c r="I125" s="8"/>
      <c r="J125" s="8"/>
      <c r="K125" s="8"/>
      <c r="L125" s="8"/>
      <c r="M125" s="16"/>
      <c r="N125" s="16" t="str">
        <f ca="1">IFERROR(__xludf.DUMMYFUNCTION("""COMPUTED_VALUE"""),"Terme")</f>
        <v>Terme</v>
      </c>
      <c r="O125" s="8"/>
      <c r="P125" s="8"/>
      <c r="Q125" s="8"/>
      <c r="R125" s="8">
        <f ca="1">IFERROR(__xludf.DUMMYFUNCTION("""COMPUTED_VALUE"""),0)</f>
        <v>0</v>
      </c>
      <c r="S125" s="8">
        <f ca="1">IFERROR(__xludf.DUMMYFUNCTION("""COMPUTED_VALUE"""),0)</f>
        <v>0</v>
      </c>
      <c r="T125" s="8">
        <f ca="1">IFERROR(__xludf.DUMMYFUNCTION("""COMPUTED_VALUE"""),0)</f>
        <v>0</v>
      </c>
      <c r="U125" s="8"/>
      <c r="V125" s="8"/>
      <c r="W125" s="8"/>
      <c r="X125" s="8"/>
      <c r="Y125" s="8"/>
      <c r="Z125" s="70" t="s">
        <v>36</v>
      </c>
      <c r="AA125" s="37" t="str">
        <f ca="1">IFERROR(__xludf.DUMMYFUNCTION("""COMPUTED_VALUE"""),"27/10/2024")</f>
        <v>27/10/2024</v>
      </c>
      <c r="AB125" s="59">
        <v>0.47222222222222227</v>
      </c>
    </row>
    <row r="126" spans="1:28" ht="14.55" customHeight="1" x14ac:dyDescent="0.3">
      <c r="A126" s="8">
        <v>56</v>
      </c>
      <c r="B126" s="8"/>
      <c r="C126" s="8"/>
      <c r="D126" s="8" t="str">
        <f ca="1">IFERROR(__xludf.DUMMYFUNCTION("""COMPUTED_VALUE"""),"23/08/2024")</f>
        <v>23/08/2024</v>
      </c>
      <c r="E126" s="16"/>
      <c r="F126" s="8" t="s">
        <v>38</v>
      </c>
      <c r="G126" s="16"/>
      <c r="H126" s="8"/>
      <c r="I126" s="8"/>
      <c r="J126" s="8"/>
      <c r="K126" s="8"/>
      <c r="L126" s="8"/>
      <c r="M126" s="16"/>
      <c r="N126" s="16"/>
      <c r="O126" s="8"/>
      <c r="P126" s="8"/>
      <c r="Q126" s="8"/>
      <c r="R126" s="8">
        <f ca="1">IFERROR(__xludf.DUMMYFUNCTION("""COMPUTED_VALUE"""),0)</f>
        <v>0</v>
      </c>
      <c r="S126" s="8">
        <f ca="1">IFERROR(__xludf.DUMMYFUNCTION("""COMPUTED_VALUE"""),0)</f>
        <v>0</v>
      </c>
      <c r="T126" s="8">
        <f ca="1">IFERROR(__xludf.DUMMYFUNCTION("""COMPUTED_VALUE"""),0)</f>
        <v>0</v>
      </c>
      <c r="U126" s="8"/>
      <c r="V126" s="8"/>
      <c r="W126" s="8"/>
      <c r="X126" s="8"/>
      <c r="Y126" s="8"/>
      <c r="Z126" s="70" t="s">
        <v>36</v>
      </c>
      <c r="AA126" s="37" t="str">
        <f ca="1">IFERROR(__xludf.DUMMYFUNCTION("""COMPUTED_VALUE"""),"27/10/2024")</f>
        <v>27/10/2024</v>
      </c>
      <c r="AB126" s="59">
        <v>0.47222222222222227</v>
      </c>
    </row>
    <row r="127" spans="1:28" ht="26.4" customHeight="1" x14ac:dyDescent="0.4">
      <c r="A127" s="48" t="s">
        <v>61</v>
      </c>
      <c r="B127" s="49"/>
      <c r="C127" s="49"/>
      <c r="D127" s="49"/>
      <c r="E127" s="50"/>
      <c r="F127" s="49"/>
      <c r="G127" s="50"/>
      <c r="H127" s="49"/>
      <c r="I127" s="49"/>
      <c r="J127" s="49"/>
      <c r="K127" s="49"/>
      <c r="L127" s="49"/>
      <c r="M127" s="50"/>
      <c r="N127" s="50"/>
      <c r="O127" s="49"/>
      <c r="P127" s="49"/>
      <c r="Q127" s="49"/>
      <c r="R127" s="49"/>
      <c r="S127" s="49"/>
      <c r="T127" s="49"/>
      <c r="U127" s="49"/>
      <c r="V127" s="49"/>
      <c r="W127" s="49"/>
      <c r="X127" s="49"/>
      <c r="Y127" s="49"/>
      <c r="Z127" s="69"/>
      <c r="AA127" s="53"/>
      <c r="AB127" s="62"/>
    </row>
    <row r="128" spans="1:28" ht="14.55" customHeight="1" x14ac:dyDescent="0.3">
      <c r="A128" s="8">
        <v>1</v>
      </c>
      <c r="B128" s="8"/>
      <c r="C128" s="8"/>
      <c r="D128" s="8" t="str">
        <f ca="1">IFERROR(__xludf.DUMMYFUNCTION("""COMPUTED_VALUE"""),"28/08/2024")</f>
        <v>28/08/2024</v>
      </c>
      <c r="E128" s="16" t="str">
        <f ca="1">IFERROR(__xludf.DUMMYFUNCTION("""COMPUTED_VALUE"""),"Player")</f>
        <v>Player</v>
      </c>
      <c r="F128" s="8" t="str">
        <f ca="1">IFERROR(__xludf.DUMMYFUNCTION("""COMPUTED_VALUE"""),"Abdusattorov, Nodirbek")</f>
        <v>Abdusattorov, Nodirbek</v>
      </c>
      <c r="G128" s="16" t="str">
        <f ca="1">IFERROR(__xludf.DUMMYFUNCTION("""COMPUTED_VALUE"""),"UZB")</f>
        <v>UZB</v>
      </c>
      <c r="H128" s="8"/>
      <c r="I128" s="8">
        <f ca="1">IFERROR(__xludf.DUMMYFUNCTION("""COMPUTED_VALUE"""),100)</f>
        <v>100</v>
      </c>
      <c r="J128" s="8"/>
      <c r="K128" s="8"/>
      <c r="L128" s="8" t="str">
        <f ca="1">IFERROR(__xludf.DUMMYFUNCTION("""COMPUTED_VALUE"""),"SuperChess")</f>
        <v>SuperChess</v>
      </c>
      <c r="M128" s="16" t="str">
        <f ca="1">IFERROR(__xludf.DUMMYFUNCTION("""COMPUTED_VALUE"""),"ROU")</f>
        <v>ROU</v>
      </c>
      <c r="N128" s="16" t="str">
        <f ca="1">IFERROR(__xludf.DUMMYFUNCTION("""COMPUTED_VALUE"""),"Kocka")</f>
        <v>Kocka</v>
      </c>
      <c r="O128" s="8"/>
      <c r="P128" s="8">
        <f ca="1">IFERROR(__xludf.DUMMYFUNCTION("""COMPUTED_VALUE"""),104)</f>
        <v>104</v>
      </c>
      <c r="Q128" s="8">
        <f ca="1">IFERROR(__xludf.DUMMYFUNCTION("""COMPUTED_VALUE"""),8)</f>
        <v>8</v>
      </c>
      <c r="R128" s="8">
        <f ca="1">IFERROR(__xludf.DUMMYFUNCTION("""COMPUTED_VALUE"""),832)</f>
        <v>832</v>
      </c>
      <c r="S128" s="8">
        <f ca="1">IFERROR(__xludf.DUMMYFUNCTION("""COMPUTED_VALUE"""),12.8)</f>
        <v>12.8</v>
      </c>
      <c r="T128" s="8">
        <f ca="1">IFERROR(__xludf.DUMMYFUNCTION("""COMPUTED_VALUE"""),844.8)</f>
        <v>844.8</v>
      </c>
      <c r="U128" s="8"/>
      <c r="V128" s="8"/>
      <c r="W128" s="8"/>
      <c r="X128" s="8"/>
      <c r="Y128" s="8"/>
      <c r="Z128" s="37" t="str">
        <f ca="1">IFERROR(__xludf.DUMMYFUNCTION("""COMPUTED_VALUE"""),"QR 232")</f>
        <v>QR 232</v>
      </c>
      <c r="AA128" s="37" t="str">
        <f ca="1">IFERROR(__xludf.DUMMYFUNCTION("""COMPUTED_VALUE"""),"27/10/2024")</f>
        <v>27/10/2024</v>
      </c>
      <c r="AB128" s="59">
        <f ca="1">IFERROR(__xludf.DUMMYFUNCTION("""COMPUTED_VALUE"""),0.496527777777777)</f>
        <v>0.49652777777777701</v>
      </c>
    </row>
    <row r="129" spans="1:28" ht="14.55" customHeight="1" x14ac:dyDescent="0.3">
      <c r="A129" s="8">
        <v>2</v>
      </c>
      <c r="B129" s="8"/>
      <c r="C129" s="8"/>
      <c r="D129" s="8" t="str">
        <f ca="1">IFERROR(__xludf.DUMMYFUNCTION("""COMPUTED_VALUE"""),"28/08/2024")</f>
        <v>28/08/2024</v>
      </c>
      <c r="E129" s="16" t="str">
        <f ca="1">IFERROR(__xludf.DUMMYFUNCTION("""COMPUTED_VALUE"""),"Player")</f>
        <v>Player</v>
      </c>
      <c r="F129" s="8" t="str">
        <f ca="1">IFERROR(__xludf.DUMMYFUNCTION("""COMPUTED_VALUE"""),"Sindarov, Javokhir")</f>
        <v>Sindarov, Javokhir</v>
      </c>
      <c r="G129" s="16" t="str">
        <f ca="1">IFERROR(__xludf.DUMMYFUNCTION("""COMPUTED_VALUE"""),"UZB")</f>
        <v>UZB</v>
      </c>
      <c r="H129" s="8"/>
      <c r="I129" s="8">
        <f ca="1">IFERROR(__xludf.DUMMYFUNCTION("""COMPUTED_VALUE"""),100)</f>
        <v>100</v>
      </c>
      <c r="J129" s="8"/>
      <c r="K129" s="8"/>
      <c r="L129" s="8" t="str">
        <f ca="1">IFERROR(__xludf.DUMMYFUNCTION("""COMPUTED_VALUE"""),"SuperChess")</f>
        <v>SuperChess</v>
      </c>
      <c r="M129" s="16" t="str">
        <f ca="1">IFERROR(__xludf.DUMMYFUNCTION("""COMPUTED_VALUE"""),"ROU")</f>
        <v>ROU</v>
      </c>
      <c r="N129" s="16" t="str">
        <f ca="1">IFERROR(__xludf.DUMMYFUNCTION("""COMPUTED_VALUE"""),"Kocka")</f>
        <v>Kocka</v>
      </c>
      <c r="O129" s="8"/>
      <c r="P129" s="8">
        <f ca="1">IFERROR(__xludf.DUMMYFUNCTION("""COMPUTED_VALUE"""),104)</f>
        <v>104</v>
      </c>
      <c r="Q129" s="8">
        <f ca="1">IFERROR(__xludf.DUMMYFUNCTION("""COMPUTED_VALUE"""),8)</f>
        <v>8</v>
      </c>
      <c r="R129" s="8">
        <f ca="1">IFERROR(__xludf.DUMMYFUNCTION("""COMPUTED_VALUE"""),832)</f>
        <v>832</v>
      </c>
      <c r="S129" s="8">
        <f ca="1">IFERROR(__xludf.DUMMYFUNCTION("""COMPUTED_VALUE"""),12.8)</f>
        <v>12.8</v>
      </c>
      <c r="T129" s="8">
        <f ca="1">IFERROR(__xludf.DUMMYFUNCTION("""COMPUTED_VALUE"""),844.8)</f>
        <v>844.8</v>
      </c>
      <c r="U129" s="8"/>
      <c r="V129" s="8"/>
      <c r="W129" s="8"/>
      <c r="X129" s="8"/>
      <c r="Y129" s="8"/>
      <c r="Z129" s="37" t="str">
        <f ca="1">IFERROR(__xludf.DUMMYFUNCTION("""COMPUTED_VALUE"""),"QR 232")</f>
        <v>QR 232</v>
      </c>
      <c r="AA129" s="37" t="str">
        <f ca="1">IFERROR(__xludf.DUMMYFUNCTION("""COMPUTED_VALUE"""),"27/10/2024")</f>
        <v>27/10/2024</v>
      </c>
      <c r="AB129" s="59">
        <f ca="1">IFERROR(__xludf.DUMMYFUNCTION("""COMPUTED_VALUE"""),0.496527777777777)</f>
        <v>0.49652777777777701</v>
      </c>
    </row>
    <row r="130" spans="1:28" ht="14.55" customHeight="1" x14ac:dyDescent="0.3">
      <c r="A130" s="8">
        <v>3</v>
      </c>
      <c r="B130" s="8"/>
      <c r="C130" s="8"/>
      <c r="D130" s="8" t="str">
        <f ca="1">IFERROR(__xludf.DUMMYFUNCTION("""COMPUTED_VALUE"""),"23/08/2024")</f>
        <v>23/08/2024</v>
      </c>
      <c r="E130" s="16" t="str">
        <f ca="1">IFERROR(__xludf.DUMMYFUNCTION("""COMPUTED_VALUE"""),"Player")</f>
        <v>Player</v>
      </c>
      <c r="F130" s="8" t="str">
        <f ca="1">IFERROR(__xludf.DUMMYFUNCTION("""COMPUTED_VALUE"""),"Nesterov, Arseniy")</f>
        <v>Nesterov, Arseniy</v>
      </c>
      <c r="G130" s="16" t="str">
        <f ca="1">IFERROR(__xludf.DUMMYFUNCTION("""COMPUTED_VALUE"""),"FID")</f>
        <v>FID</v>
      </c>
      <c r="H130" s="8"/>
      <c r="I130" s="8">
        <f ca="1">IFERROR(__xludf.DUMMYFUNCTION("""COMPUTED_VALUE"""),100)</f>
        <v>100</v>
      </c>
      <c r="J130" s="8"/>
      <c r="K130" s="8"/>
      <c r="L130" s="8" t="str">
        <f ca="1">IFERROR(__xludf.DUMMYFUNCTION("""COMPUTED_VALUE"""),"Sentimento Ajka BSK")</f>
        <v>Sentimento Ajka BSK</v>
      </c>
      <c r="M130" s="16" t="str">
        <f ca="1">IFERROR(__xludf.DUMMYFUNCTION("""COMPUTED_VALUE"""),"HUN")</f>
        <v>HUN</v>
      </c>
      <c r="N130" s="16" t="str">
        <f ca="1">IFERROR(__xludf.DUMMYFUNCTION("""COMPUTED_VALUE"""),"Terme")</f>
        <v>Terme</v>
      </c>
      <c r="O130" s="8"/>
      <c r="P130" s="8"/>
      <c r="Q130" s="8">
        <f ca="1">IFERROR(__xludf.DUMMYFUNCTION("""COMPUTED_VALUE"""),8)</f>
        <v>8</v>
      </c>
      <c r="R130" s="8">
        <f ca="1">IFERROR(__xludf.DUMMYFUNCTION("""COMPUTED_VALUE"""),0)</f>
        <v>0</v>
      </c>
      <c r="S130" s="8">
        <f ca="1">IFERROR(__xludf.DUMMYFUNCTION("""COMPUTED_VALUE"""),12.8)</f>
        <v>12.8</v>
      </c>
      <c r="T130" s="8">
        <f ca="1">IFERROR(__xludf.DUMMYFUNCTION("""COMPUTED_VALUE"""),12.8)</f>
        <v>12.8</v>
      </c>
      <c r="U130" s="8"/>
      <c r="V130" s="8"/>
      <c r="W130" s="8"/>
      <c r="X130" s="8"/>
      <c r="Y130" s="8"/>
      <c r="Z130" s="37"/>
      <c r="AA130" s="37" t="str">
        <f ca="1">IFERROR(__xludf.DUMMYFUNCTION("""COMPUTED_VALUE"""),"27/10/2024")</f>
        <v>27/10/2024</v>
      </c>
      <c r="AB130" s="59">
        <f ca="1">IFERROR(__xludf.DUMMYFUNCTION("""COMPUTED_VALUE"""),0.5)</f>
        <v>0.5</v>
      </c>
    </row>
    <row r="131" spans="1:28" ht="14.55" customHeight="1" x14ac:dyDescent="0.25">
      <c r="A131" s="8">
        <v>4</v>
      </c>
      <c r="B131" s="8"/>
      <c r="C131" s="8"/>
      <c r="D131" s="8" t="str">
        <f ca="1">IFERROR(__xludf.DUMMYFUNCTION("""COMPUTED_VALUE"""),"14/08/2024")</f>
        <v>14/08/2024</v>
      </c>
      <c r="E131" s="16" t="str">
        <f ca="1">IFERROR(__xludf.DUMMYFUNCTION("""COMPUTED_VALUE"""),"Player")</f>
        <v>Player</v>
      </c>
      <c r="F131" s="8" t="str">
        <f ca="1">IFERROR(__xludf.DUMMYFUNCTION("""COMPUTED_VALUE"""),"Gkoumas, Georgios")</f>
        <v>Gkoumas, Georgios</v>
      </c>
      <c r="G131" s="16" t="str">
        <f ca="1">IFERROR(__xludf.DUMMYFUNCTION("""COMPUTED_VALUE"""),"GRE")</f>
        <v>GRE</v>
      </c>
      <c r="H131" s="8"/>
      <c r="I131" s="8">
        <f ca="1">IFERROR(__xludf.DUMMYFUNCTION("""COMPUTED_VALUE"""),100)</f>
        <v>100</v>
      </c>
      <c r="J131" s="8"/>
      <c r="K131" s="8"/>
      <c r="L131" s="8" t="str">
        <f ca="1">IFERROR(__xludf.DUMMYFUNCTION("""COMPUTED_VALUE"""),"O.F.I. Chess Club")</f>
        <v>O.F.I. Chess Club</v>
      </c>
      <c r="M131" s="16" t="str">
        <f ca="1">IFERROR(__xludf.DUMMYFUNCTION("""COMPUTED_VALUE"""),"GRE")</f>
        <v>GRE</v>
      </c>
      <c r="N131" s="16" t="str">
        <f ca="1">IFERROR(__xludf.DUMMYFUNCTION("""COMPUTED_VALUE"""),"Zepter")</f>
        <v>Zepter</v>
      </c>
      <c r="O131" s="8" t="str">
        <f ca="1">IFERROR(__xludf.DUMMYFUNCTION("""COMPUTED_VALUE"""),"Christodoulaki Ant")</f>
        <v>Christodoulaki Ant</v>
      </c>
      <c r="P131" s="8">
        <f ca="1">IFERROR(__xludf.DUMMYFUNCTION("""COMPUTED_VALUE"""),82)</f>
        <v>82</v>
      </c>
      <c r="Q131" s="8">
        <f ca="1">IFERROR(__xludf.DUMMYFUNCTION("""COMPUTED_VALUE"""),7)</f>
        <v>7</v>
      </c>
      <c r="R131" s="8">
        <f ca="1">IFERROR(__xludf.DUMMYFUNCTION("""COMPUTED_VALUE"""),574)</f>
        <v>574</v>
      </c>
      <c r="S131" s="8">
        <f ca="1">IFERROR(__xludf.DUMMYFUNCTION("""COMPUTED_VALUE"""),11.2)</f>
        <v>11.2</v>
      </c>
      <c r="T131" s="8">
        <f ca="1">IFERROR(__xludf.DUMMYFUNCTION("""COMPUTED_VALUE"""),585.2)</f>
        <v>585.20000000000005</v>
      </c>
      <c r="U131" s="8"/>
      <c r="V131" s="8"/>
      <c r="W131" s="8"/>
      <c r="X131" s="8"/>
      <c r="Y131" s="8"/>
      <c r="Z131" s="39" t="s">
        <v>23</v>
      </c>
      <c r="AA131" s="38" t="s">
        <v>20</v>
      </c>
      <c r="AB131" s="60" t="s">
        <v>50</v>
      </c>
    </row>
    <row r="132" spans="1:28" ht="14.55" customHeight="1" x14ac:dyDescent="0.25">
      <c r="A132" s="8">
        <v>5</v>
      </c>
      <c r="B132" s="8"/>
      <c r="C132" s="8"/>
      <c r="D132" s="8" t="str">
        <f ca="1">IFERROR(__xludf.DUMMYFUNCTION("""COMPUTED_VALUE"""),"14/08/2024")</f>
        <v>14/08/2024</v>
      </c>
      <c r="E132" s="16" t="str">
        <f ca="1">IFERROR(__xludf.DUMMYFUNCTION("""COMPUTED_VALUE"""),"Player")</f>
        <v>Player</v>
      </c>
      <c r="F132" s="8" t="str">
        <f ca="1">IFERROR(__xludf.DUMMYFUNCTION("""COMPUTED_VALUE"""),"Christodoulaki, Antonia")</f>
        <v>Christodoulaki, Antonia</v>
      </c>
      <c r="G132" s="16" t="str">
        <f ca="1">IFERROR(__xludf.DUMMYFUNCTION("""COMPUTED_VALUE"""),"GRE")</f>
        <v>GRE</v>
      </c>
      <c r="H132" s="8"/>
      <c r="I132" s="8">
        <f ca="1">IFERROR(__xludf.DUMMYFUNCTION("""COMPUTED_VALUE"""),100)</f>
        <v>100</v>
      </c>
      <c r="J132" s="8"/>
      <c r="K132" s="8"/>
      <c r="L132" s="8" t="str">
        <f ca="1">IFERROR(__xludf.DUMMYFUNCTION("""COMPUTED_VALUE"""),"O.F.I. Chess Club")</f>
        <v>O.F.I. Chess Club</v>
      </c>
      <c r="M132" s="16" t="str">
        <f ca="1">IFERROR(__xludf.DUMMYFUNCTION("""COMPUTED_VALUE"""),"GRE")</f>
        <v>GRE</v>
      </c>
      <c r="N132" s="16" t="str">
        <f ca="1">IFERROR(__xludf.DUMMYFUNCTION("""COMPUTED_VALUE"""),"Zepter")</f>
        <v>Zepter</v>
      </c>
      <c r="O132" s="8" t="str">
        <f ca="1">IFERROR(__xludf.DUMMYFUNCTION("""COMPUTED_VALUE"""),"Gkoumas Georgios")</f>
        <v>Gkoumas Georgios</v>
      </c>
      <c r="P132" s="8">
        <f ca="1">IFERROR(__xludf.DUMMYFUNCTION("""COMPUTED_VALUE"""),82)</f>
        <v>82</v>
      </c>
      <c r="Q132" s="8">
        <f ca="1">IFERROR(__xludf.DUMMYFUNCTION("""COMPUTED_VALUE"""),7)</f>
        <v>7</v>
      </c>
      <c r="R132" s="8">
        <f ca="1">IFERROR(__xludf.DUMMYFUNCTION("""COMPUTED_VALUE"""),574)</f>
        <v>574</v>
      </c>
      <c r="S132" s="8">
        <f ca="1">IFERROR(__xludf.DUMMYFUNCTION("""COMPUTED_VALUE"""),11.2)</f>
        <v>11.2</v>
      </c>
      <c r="T132" s="8">
        <f ca="1">IFERROR(__xludf.DUMMYFUNCTION("""COMPUTED_VALUE"""),585.2)</f>
        <v>585.20000000000005</v>
      </c>
      <c r="U132" s="8"/>
      <c r="V132" s="8"/>
      <c r="W132" s="8"/>
      <c r="X132" s="8"/>
      <c r="Y132" s="8"/>
      <c r="Z132" s="39" t="s">
        <v>23</v>
      </c>
      <c r="AA132" s="38" t="s">
        <v>20</v>
      </c>
      <c r="AB132" s="60" t="s">
        <v>50</v>
      </c>
    </row>
    <row r="133" spans="1:28" ht="14.55" customHeight="1" x14ac:dyDescent="0.25">
      <c r="A133" s="8">
        <v>6</v>
      </c>
      <c r="B133" s="8"/>
      <c r="C133" s="8"/>
      <c r="D133" s="8" t="str">
        <f ca="1">IFERROR(__xludf.DUMMYFUNCTION("""COMPUTED_VALUE"""),"14/08/2024")</f>
        <v>14/08/2024</v>
      </c>
      <c r="E133" s="16" t="str">
        <f ca="1">IFERROR(__xludf.DUMMYFUNCTION("""COMPUTED_VALUE"""),"Player")</f>
        <v>Player</v>
      </c>
      <c r="F133" s="8" t="str">
        <f ca="1">IFERROR(__xludf.DUMMYFUNCTION("""COMPUTED_VALUE"""),"Hristodoulou, Panagiotis")</f>
        <v>Hristodoulou, Panagiotis</v>
      </c>
      <c r="G133" s="16" t="str">
        <f ca="1">IFERROR(__xludf.DUMMYFUNCTION("""COMPUTED_VALUE"""),"GRE")</f>
        <v>GRE</v>
      </c>
      <c r="H133" s="8"/>
      <c r="I133" s="8">
        <f ca="1">IFERROR(__xludf.DUMMYFUNCTION("""COMPUTED_VALUE"""),100)</f>
        <v>100</v>
      </c>
      <c r="J133" s="8"/>
      <c r="K133" s="8"/>
      <c r="L133" s="8" t="str">
        <f ca="1">IFERROR(__xludf.DUMMYFUNCTION("""COMPUTED_VALUE"""),"O.F.I. Chess Club")</f>
        <v>O.F.I. Chess Club</v>
      </c>
      <c r="M133" s="16" t="str">
        <f ca="1">IFERROR(__xludf.DUMMYFUNCTION("""COMPUTED_VALUE"""),"GRE")</f>
        <v>GRE</v>
      </c>
      <c r="N133" s="16" t="str">
        <f ca="1">IFERROR(__xludf.DUMMYFUNCTION("""COMPUTED_VALUE"""),"Zepter")</f>
        <v>Zepter</v>
      </c>
      <c r="O133" s="8" t="str">
        <f ca="1">IFERROR(__xludf.DUMMYFUNCTION("""COMPUTED_VALUE"""),"Panagiotakos Nik")</f>
        <v>Panagiotakos Nik</v>
      </c>
      <c r="P133" s="8">
        <f ca="1">IFERROR(__xludf.DUMMYFUNCTION("""COMPUTED_VALUE"""),82)</f>
        <v>82</v>
      </c>
      <c r="Q133" s="8">
        <f ca="1">IFERROR(__xludf.DUMMYFUNCTION("""COMPUTED_VALUE"""),7)</f>
        <v>7</v>
      </c>
      <c r="R133" s="8">
        <f ca="1">IFERROR(__xludf.DUMMYFUNCTION("""COMPUTED_VALUE"""),574)</f>
        <v>574</v>
      </c>
      <c r="S133" s="8">
        <f ca="1">IFERROR(__xludf.DUMMYFUNCTION("""COMPUTED_VALUE"""),11.2)</f>
        <v>11.2</v>
      </c>
      <c r="T133" s="8">
        <f ca="1">IFERROR(__xludf.DUMMYFUNCTION("""COMPUTED_VALUE"""),585.2)</f>
        <v>585.20000000000005</v>
      </c>
      <c r="U133" s="8"/>
      <c r="V133" s="8"/>
      <c r="W133" s="8"/>
      <c r="X133" s="8"/>
      <c r="Y133" s="8"/>
      <c r="Z133" s="39" t="s">
        <v>23</v>
      </c>
      <c r="AA133" s="38" t="s">
        <v>20</v>
      </c>
      <c r="AB133" s="60" t="s">
        <v>50</v>
      </c>
    </row>
    <row r="134" spans="1:28" ht="14.55" customHeight="1" x14ac:dyDescent="0.25">
      <c r="A134" s="8">
        <v>7</v>
      </c>
      <c r="B134" s="8"/>
      <c r="C134" s="8"/>
      <c r="D134" s="8" t="str">
        <f ca="1">IFERROR(__xludf.DUMMYFUNCTION("""COMPUTED_VALUE"""),"14/08/2024")</f>
        <v>14/08/2024</v>
      </c>
      <c r="E134" s="16" t="str">
        <f ca="1">IFERROR(__xludf.DUMMYFUNCTION("""COMPUTED_VALUE"""),"Player")</f>
        <v>Player</v>
      </c>
      <c r="F134" s="8" t="str">
        <f ca="1">IFERROR(__xludf.DUMMYFUNCTION("""COMPUTED_VALUE"""),"Panagiotakos, Nikolaos")</f>
        <v>Panagiotakos, Nikolaos</v>
      </c>
      <c r="G134" s="16" t="str">
        <f ca="1">IFERROR(__xludf.DUMMYFUNCTION("""COMPUTED_VALUE"""),"GRE")</f>
        <v>GRE</v>
      </c>
      <c r="H134" s="8"/>
      <c r="I134" s="8">
        <f ca="1">IFERROR(__xludf.DUMMYFUNCTION("""COMPUTED_VALUE"""),100)</f>
        <v>100</v>
      </c>
      <c r="J134" s="8"/>
      <c r="K134" s="8"/>
      <c r="L134" s="8" t="str">
        <f ca="1">IFERROR(__xludf.DUMMYFUNCTION("""COMPUTED_VALUE"""),"O.F.I. Chess Club")</f>
        <v>O.F.I. Chess Club</v>
      </c>
      <c r="M134" s="16" t="str">
        <f ca="1">IFERROR(__xludf.DUMMYFUNCTION("""COMPUTED_VALUE"""),"GRE")</f>
        <v>GRE</v>
      </c>
      <c r="N134" s="16" t="str">
        <f ca="1">IFERROR(__xludf.DUMMYFUNCTION("""COMPUTED_VALUE"""),"Zepter")</f>
        <v>Zepter</v>
      </c>
      <c r="O134" s="8" t="str">
        <f ca="1">IFERROR(__xludf.DUMMYFUNCTION("""COMPUTED_VALUE"""),"Hristodoulou Pan")</f>
        <v>Hristodoulou Pan</v>
      </c>
      <c r="P134" s="8">
        <f ca="1">IFERROR(__xludf.DUMMYFUNCTION("""COMPUTED_VALUE"""),82)</f>
        <v>82</v>
      </c>
      <c r="Q134" s="8">
        <f ca="1">IFERROR(__xludf.DUMMYFUNCTION("""COMPUTED_VALUE"""),7)</f>
        <v>7</v>
      </c>
      <c r="R134" s="8">
        <f ca="1">IFERROR(__xludf.DUMMYFUNCTION("""COMPUTED_VALUE"""),574)</f>
        <v>574</v>
      </c>
      <c r="S134" s="8">
        <f ca="1">IFERROR(__xludf.DUMMYFUNCTION("""COMPUTED_VALUE"""),11.2)</f>
        <v>11.2</v>
      </c>
      <c r="T134" s="8">
        <f ca="1">IFERROR(__xludf.DUMMYFUNCTION("""COMPUTED_VALUE"""),585.2)</f>
        <v>585.20000000000005</v>
      </c>
      <c r="U134" s="8"/>
      <c r="V134" s="8"/>
      <c r="W134" s="8"/>
      <c r="X134" s="8"/>
      <c r="Y134" s="8"/>
      <c r="Z134" s="39" t="s">
        <v>23</v>
      </c>
      <c r="AA134" s="38" t="s">
        <v>20</v>
      </c>
      <c r="AB134" s="60" t="s">
        <v>50</v>
      </c>
    </row>
    <row r="135" spans="1:28" ht="14.55" customHeight="1" x14ac:dyDescent="0.25">
      <c r="A135" s="8">
        <v>8</v>
      </c>
      <c r="B135" s="8"/>
      <c r="C135" s="8"/>
      <c r="D135" s="8" t="str">
        <f ca="1">IFERROR(__xludf.DUMMYFUNCTION("""COMPUTED_VALUE"""),"14/08/2024")</f>
        <v>14/08/2024</v>
      </c>
      <c r="E135" s="16" t="str">
        <f ca="1">IFERROR(__xludf.DUMMYFUNCTION("""COMPUTED_VALUE"""),"Player")</f>
        <v>Player</v>
      </c>
      <c r="F135" s="8" t="str">
        <f ca="1">IFERROR(__xludf.DUMMYFUNCTION("""COMPUTED_VALUE"""),"Kouvidis, Ioannis")</f>
        <v>Kouvidis, Ioannis</v>
      </c>
      <c r="G135" s="16" t="str">
        <f ca="1">IFERROR(__xludf.DUMMYFUNCTION("""COMPUTED_VALUE"""),"GRE")</f>
        <v>GRE</v>
      </c>
      <c r="H135" s="8"/>
      <c r="I135" s="8">
        <f ca="1">IFERROR(__xludf.DUMMYFUNCTION("""COMPUTED_VALUE"""),100)</f>
        <v>100</v>
      </c>
      <c r="J135" s="8"/>
      <c r="K135" s="8"/>
      <c r="L135" s="8" t="str">
        <f ca="1">IFERROR(__xludf.DUMMYFUNCTION("""COMPUTED_VALUE"""),"O.F.I. Chess Club")</f>
        <v>O.F.I. Chess Club</v>
      </c>
      <c r="M135" s="16" t="str">
        <f ca="1">IFERROR(__xludf.DUMMYFUNCTION("""COMPUTED_VALUE"""),"GRE")</f>
        <v>GRE</v>
      </c>
      <c r="N135" s="16" t="str">
        <f ca="1">IFERROR(__xludf.DUMMYFUNCTION("""COMPUTED_VALUE"""),"Zepter")</f>
        <v>Zepter</v>
      </c>
      <c r="O135" s="8" t="str">
        <f ca="1">IFERROR(__xludf.DUMMYFUNCTION("""COMPUTED_VALUE"""),"Tsapaki Asimenia")</f>
        <v>Tsapaki Asimenia</v>
      </c>
      <c r="P135" s="8">
        <f ca="1">IFERROR(__xludf.DUMMYFUNCTION("""COMPUTED_VALUE"""),82)</f>
        <v>82</v>
      </c>
      <c r="Q135" s="8">
        <f ca="1">IFERROR(__xludf.DUMMYFUNCTION("""COMPUTED_VALUE"""),7)</f>
        <v>7</v>
      </c>
      <c r="R135" s="8">
        <f ca="1">IFERROR(__xludf.DUMMYFUNCTION("""COMPUTED_VALUE"""),574)</f>
        <v>574</v>
      </c>
      <c r="S135" s="8">
        <f ca="1">IFERROR(__xludf.DUMMYFUNCTION("""COMPUTED_VALUE"""),11.2)</f>
        <v>11.2</v>
      </c>
      <c r="T135" s="8">
        <f ca="1">IFERROR(__xludf.DUMMYFUNCTION("""COMPUTED_VALUE"""),585.2)</f>
        <v>585.20000000000005</v>
      </c>
      <c r="U135" s="8"/>
      <c r="V135" s="8"/>
      <c r="W135" s="8"/>
      <c r="X135" s="8"/>
      <c r="Y135" s="8"/>
      <c r="Z135" s="39" t="s">
        <v>23</v>
      </c>
      <c r="AA135" s="38" t="s">
        <v>20</v>
      </c>
      <c r="AB135" s="60" t="s">
        <v>50</v>
      </c>
    </row>
    <row r="136" spans="1:28" ht="14.55" customHeight="1" x14ac:dyDescent="0.25">
      <c r="A136" s="8">
        <v>9</v>
      </c>
      <c r="B136" s="8"/>
      <c r="C136" s="8"/>
      <c r="D136" s="8" t="str">
        <f ca="1">IFERROR(__xludf.DUMMYFUNCTION("""COMPUTED_VALUE"""),"14/08/2024")</f>
        <v>14/08/2024</v>
      </c>
      <c r="E136" s="16" t="str">
        <f ca="1">IFERROR(__xludf.DUMMYFUNCTION("""COMPUTED_VALUE"""),"Player")</f>
        <v>Player</v>
      </c>
      <c r="F136" s="8" t="str">
        <f ca="1">IFERROR(__xludf.DUMMYFUNCTION("""COMPUTED_VALUE"""),"Tsapaki, Asimenia")</f>
        <v>Tsapaki, Asimenia</v>
      </c>
      <c r="G136" s="16" t="str">
        <f ca="1">IFERROR(__xludf.DUMMYFUNCTION("""COMPUTED_VALUE"""),"GRE")</f>
        <v>GRE</v>
      </c>
      <c r="H136" s="8"/>
      <c r="I136" s="8">
        <f ca="1">IFERROR(__xludf.DUMMYFUNCTION("""COMPUTED_VALUE"""),100)</f>
        <v>100</v>
      </c>
      <c r="J136" s="8"/>
      <c r="K136" s="8"/>
      <c r="L136" s="8" t="str">
        <f ca="1">IFERROR(__xludf.DUMMYFUNCTION("""COMPUTED_VALUE"""),"O.F.I. Chess Club")</f>
        <v>O.F.I. Chess Club</v>
      </c>
      <c r="M136" s="16" t="str">
        <f ca="1">IFERROR(__xludf.DUMMYFUNCTION("""COMPUTED_VALUE"""),"GRE")</f>
        <v>GRE</v>
      </c>
      <c r="N136" s="16" t="str">
        <f ca="1">IFERROR(__xludf.DUMMYFUNCTION("""COMPUTED_VALUE"""),"Zepter")</f>
        <v>Zepter</v>
      </c>
      <c r="O136" s="8" t="str">
        <f ca="1">IFERROR(__xludf.DUMMYFUNCTION("""COMPUTED_VALUE"""),"Kouvidis Ioannis")</f>
        <v>Kouvidis Ioannis</v>
      </c>
      <c r="P136" s="8">
        <f ca="1">IFERROR(__xludf.DUMMYFUNCTION("""COMPUTED_VALUE"""),82)</f>
        <v>82</v>
      </c>
      <c r="Q136" s="8">
        <f ca="1">IFERROR(__xludf.DUMMYFUNCTION("""COMPUTED_VALUE"""),7)</f>
        <v>7</v>
      </c>
      <c r="R136" s="8">
        <f ca="1">IFERROR(__xludf.DUMMYFUNCTION("""COMPUTED_VALUE"""),574)</f>
        <v>574</v>
      </c>
      <c r="S136" s="8">
        <f ca="1">IFERROR(__xludf.DUMMYFUNCTION("""COMPUTED_VALUE"""),11.2)</f>
        <v>11.2</v>
      </c>
      <c r="T136" s="8">
        <f ca="1">IFERROR(__xludf.DUMMYFUNCTION("""COMPUTED_VALUE"""),585.2)</f>
        <v>585.20000000000005</v>
      </c>
      <c r="U136" s="8"/>
      <c r="V136" s="8"/>
      <c r="W136" s="8"/>
      <c r="X136" s="8"/>
      <c r="Y136" s="8"/>
      <c r="Z136" s="39" t="s">
        <v>23</v>
      </c>
      <c r="AA136" s="38" t="s">
        <v>20</v>
      </c>
      <c r="AB136" s="60" t="s">
        <v>50</v>
      </c>
    </row>
    <row r="137" spans="1:28" ht="14.55" customHeight="1" x14ac:dyDescent="0.3">
      <c r="A137" s="8">
        <v>10</v>
      </c>
      <c r="B137" s="8"/>
      <c r="C137" s="8"/>
      <c r="D137" s="8" t="str">
        <f ca="1">IFERROR(__xludf.DUMMYFUNCTION("""COMPUTED_VALUE"""),"23/07/2024")</f>
        <v>23/07/2024</v>
      </c>
      <c r="E137" s="16" t="str">
        <f ca="1">IFERROR(__xludf.DUMMYFUNCTION("""COMPUTED_VALUE"""),"Player")</f>
        <v>Player</v>
      </c>
      <c r="F137" s="8" t="str">
        <f ca="1">IFERROR(__xludf.DUMMYFUNCTION("""COMPUTED_VALUE"""),"Gueci, Tea")</f>
        <v>Gueci, Tea</v>
      </c>
      <c r="G137" s="16" t="str">
        <f ca="1">IFERROR(__xludf.DUMMYFUNCTION("""COMPUTED_VALUE"""),"ITA")</f>
        <v>ITA</v>
      </c>
      <c r="H137" s="8"/>
      <c r="I137" s="8">
        <f ca="1">IFERROR(__xludf.DUMMYFUNCTION("""COMPUTED_VALUE"""),100)</f>
        <v>100</v>
      </c>
      <c r="J137" s="8"/>
      <c r="K137" s="8"/>
      <c r="L137" s="8" t="str">
        <f ca="1">IFERROR(__xludf.DUMMYFUNCTION("""COMPUTED_VALUE"""),"ASD Pedone Isolano")</f>
        <v>ASD Pedone Isolano</v>
      </c>
      <c r="M137" s="16" t="str">
        <f ca="1">IFERROR(__xludf.DUMMYFUNCTION("""COMPUTED_VALUE"""),"ITA")</f>
        <v>ITA</v>
      </c>
      <c r="N137" s="16" t="str">
        <f ca="1">IFERROR(__xludf.DUMMYFUNCTION("""COMPUTED_VALUE"""),"Zepter")</f>
        <v>Zepter</v>
      </c>
      <c r="O137" s="8"/>
      <c r="P137" s="8">
        <f ca="1">IFERROR(__xludf.DUMMYFUNCTION("""COMPUTED_VALUE"""),104)</f>
        <v>104</v>
      </c>
      <c r="Q137" s="8">
        <f ca="1">IFERROR(__xludf.DUMMYFUNCTION("""COMPUTED_VALUE"""),8)</f>
        <v>8</v>
      </c>
      <c r="R137" s="8">
        <f ca="1">IFERROR(__xludf.DUMMYFUNCTION("""COMPUTED_VALUE"""),832)</f>
        <v>832</v>
      </c>
      <c r="S137" s="8">
        <f ca="1">IFERROR(__xludf.DUMMYFUNCTION("""COMPUTED_VALUE"""),12.8)</f>
        <v>12.8</v>
      </c>
      <c r="T137" s="8">
        <f ca="1">IFERROR(__xludf.DUMMYFUNCTION("""COMPUTED_VALUE"""),844.8)</f>
        <v>844.8</v>
      </c>
      <c r="U137" s="8"/>
      <c r="V137" s="8"/>
      <c r="W137" s="8"/>
      <c r="X137" s="8"/>
      <c r="Y137" s="8"/>
      <c r="Z137" s="37" t="str">
        <f ca="1">IFERROR(__xludf.DUMMYFUNCTION("""COMPUTED_VALUE"""),"JU402")</f>
        <v>JU402</v>
      </c>
      <c r="AA137" s="37" t="str">
        <f ca="1">IFERROR(__xludf.DUMMYFUNCTION("""COMPUTED_VALUE"""),"27/10/2024")</f>
        <v>27/10/2024</v>
      </c>
      <c r="AB137" s="59">
        <f ca="1">IFERROR(__xludf.DUMMYFUNCTION("""COMPUTED_VALUE"""),0.520833333333333)</f>
        <v>0.52083333333333304</v>
      </c>
    </row>
    <row r="138" spans="1:28" ht="14.55" customHeight="1" x14ac:dyDescent="0.3">
      <c r="A138" s="8">
        <v>11</v>
      </c>
      <c r="B138" s="8"/>
      <c r="C138" s="8"/>
      <c r="D138" s="8" t="str">
        <f ca="1">IFERROR(__xludf.DUMMYFUNCTION("""COMPUTED_VALUE"""),"23/07/2024")</f>
        <v>23/07/2024</v>
      </c>
      <c r="E138" s="16" t="str">
        <f ca="1">IFERROR(__xludf.DUMMYFUNCTION("""COMPUTED_VALUE"""),"Player")</f>
        <v>Player</v>
      </c>
      <c r="F138" s="8" t="str">
        <f ca="1">IFERROR(__xludf.DUMMYFUNCTION("""COMPUTED_VALUE"""),"Lo Presti, Giulio")</f>
        <v>Lo Presti, Giulio</v>
      </c>
      <c r="G138" s="16" t="str">
        <f ca="1">IFERROR(__xludf.DUMMYFUNCTION("""COMPUTED_VALUE"""),"ITA")</f>
        <v>ITA</v>
      </c>
      <c r="H138" s="8"/>
      <c r="I138" s="8">
        <f ca="1">IFERROR(__xludf.DUMMYFUNCTION("""COMPUTED_VALUE"""),100)</f>
        <v>100</v>
      </c>
      <c r="J138" s="8"/>
      <c r="K138" s="8"/>
      <c r="L138" s="8" t="str">
        <f ca="1">IFERROR(__xludf.DUMMYFUNCTION("""COMPUTED_VALUE"""),"ASD Pedone Isolano")</f>
        <v>ASD Pedone Isolano</v>
      </c>
      <c r="M138" s="16" t="str">
        <f ca="1">IFERROR(__xludf.DUMMYFUNCTION("""COMPUTED_VALUE"""),"ITA")</f>
        <v>ITA</v>
      </c>
      <c r="N138" s="16" t="str">
        <f ca="1">IFERROR(__xludf.DUMMYFUNCTION("""COMPUTED_VALUE"""),"Zepter")</f>
        <v>Zepter</v>
      </c>
      <c r="O138" s="8" t="str">
        <f ca="1">IFERROR(__xludf.DUMMYFUNCTION("""COMPUTED_VALUE"""),"Cappelletto Jos")</f>
        <v>Cappelletto Jos</v>
      </c>
      <c r="P138" s="8">
        <f ca="1">IFERROR(__xludf.DUMMYFUNCTION("""COMPUTED_VALUE"""),82)</f>
        <v>82</v>
      </c>
      <c r="Q138" s="8">
        <f ca="1">IFERROR(__xludf.DUMMYFUNCTION("""COMPUTED_VALUE"""),8)</f>
        <v>8</v>
      </c>
      <c r="R138" s="8">
        <f ca="1">IFERROR(__xludf.DUMMYFUNCTION("""COMPUTED_VALUE"""),656)</f>
        <v>656</v>
      </c>
      <c r="S138" s="8">
        <f ca="1">IFERROR(__xludf.DUMMYFUNCTION("""COMPUTED_VALUE"""),12.8)</f>
        <v>12.8</v>
      </c>
      <c r="T138" s="8">
        <f ca="1">IFERROR(__xludf.DUMMYFUNCTION("""COMPUTED_VALUE"""),668.8)</f>
        <v>668.8</v>
      </c>
      <c r="U138" s="8"/>
      <c r="V138" s="8"/>
      <c r="W138" s="8"/>
      <c r="X138" s="8"/>
      <c r="Y138" s="8"/>
      <c r="Z138" s="37" t="str">
        <f ca="1">IFERROR(__xludf.DUMMYFUNCTION("""COMPUTED_VALUE"""),"JU402")</f>
        <v>JU402</v>
      </c>
      <c r="AA138" s="37" t="str">
        <f ca="1">IFERROR(__xludf.DUMMYFUNCTION("""COMPUTED_VALUE"""),"27/10/2024")</f>
        <v>27/10/2024</v>
      </c>
      <c r="AB138" s="59">
        <f ca="1">IFERROR(__xludf.DUMMYFUNCTION("""COMPUTED_VALUE"""),0.520833333333333)</f>
        <v>0.52083333333333304</v>
      </c>
    </row>
    <row r="139" spans="1:28" ht="14.55" customHeight="1" x14ac:dyDescent="0.3">
      <c r="A139" s="8">
        <v>12</v>
      </c>
      <c r="B139" s="8"/>
      <c r="C139" s="8"/>
      <c r="D139" s="8" t="str">
        <f ca="1">IFERROR(__xludf.DUMMYFUNCTION("""COMPUTED_VALUE"""),"23/07/2024")</f>
        <v>23/07/2024</v>
      </c>
      <c r="E139" s="16" t="str">
        <f ca="1">IFERROR(__xludf.DUMMYFUNCTION("""COMPUTED_VALUE"""),"Player")</f>
        <v>Player</v>
      </c>
      <c r="F139" s="8" t="str">
        <f ca="1">IFERROR(__xludf.DUMMYFUNCTION("""COMPUTED_VALUE"""),"Cappai, Davide")</f>
        <v>Cappai, Davide</v>
      </c>
      <c r="G139" s="16" t="str">
        <f ca="1">IFERROR(__xludf.DUMMYFUNCTION("""COMPUTED_VALUE"""),"ITA")</f>
        <v>ITA</v>
      </c>
      <c r="H139" s="8"/>
      <c r="I139" s="8">
        <f ca="1">IFERROR(__xludf.DUMMYFUNCTION("""COMPUTED_VALUE"""),100)</f>
        <v>100</v>
      </c>
      <c r="J139" s="8"/>
      <c r="K139" s="8"/>
      <c r="L139" s="8" t="str">
        <f ca="1">IFERROR(__xludf.DUMMYFUNCTION("""COMPUTED_VALUE"""),"ASD Pedone Isolano")</f>
        <v>ASD Pedone Isolano</v>
      </c>
      <c r="M139" s="16" t="str">
        <f ca="1">IFERROR(__xludf.DUMMYFUNCTION("""COMPUTED_VALUE"""),"ITA")</f>
        <v>ITA</v>
      </c>
      <c r="N139" s="16" t="str">
        <f ca="1">IFERROR(__xludf.DUMMYFUNCTION("""COMPUTED_VALUE"""),"Zepter")</f>
        <v>Zepter</v>
      </c>
      <c r="O139" s="8" t="str">
        <f ca="1">IFERROR(__xludf.DUMMYFUNCTION("""COMPUTED_VALUE"""),"Pisacane Pietro")</f>
        <v>Pisacane Pietro</v>
      </c>
      <c r="P139" s="8">
        <f ca="1">IFERROR(__xludf.DUMMYFUNCTION("""COMPUTED_VALUE"""),82)</f>
        <v>82</v>
      </c>
      <c r="Q139" s="8">
        <f ca="1">IFERROR(__xludf.DUMMYFUNCTION("""COMPUTED_VALUE"""),8)</f>
        <v>8</v>
      </c>
      <c r="R139" s="8">
        <f ca="1">IFERROR(__xludf.DUMMYFUNCTION("""COMPUTED_VALUE"""),656)</f>
        <v>656</v>
      </c>
      <c r="S139" s="8">
        <f ca="1">IFERROR(__xludf.DUMMYFUNCTION("""COMPUTED_VALUE"""),12.8)</f>
        <v>12.8</v>
      </c>
      <c r="T139" s="8">
        <f ca="1">IFERROR(__xludf.DUMMYFUNCTION("""COMPUTED_VALUE"""),668.8)</f>
        <v>668.8</v>
      </c>
      <c r="U139" s="8"/>
      <c r="V139" s="8"/>
      <c r="W139" s="8"/>
      <c r="X139" s="8"/>
      <c r="Y139" s="8"/>
      <c r="Z139" s="37" t="str">
        <f ca="1">IFERROR(__xludf.DUMMYFUNCTION("""COMPUTED_VALUE"""),"JU402")</f>
        <v>JU402</v>
      </c>
      <c r="AA139" s="37" t="str">
        <f ca="1">IFERROR(__xludf.DUMMYFUNCTION("""COMPUTED_VALUE"""),"27/10/2024")</f>
        <v>27/10/2024</v>
      </c>
      <c r="AB139" s="59">
        <f ca="1">IFERROR(__xludf.DUMMYFUNCTION("""COMPUTED_VALUE"""),0.520833333333333)</f>
        <v>0.52083333333333304</v>
      </c>
    </row>
    <row r="140" spans="1:28" ht="14.55" customHeight="1" x14ac:dyDescent="0.3">
      <c r="A140" s="8">
        <v>13</v>
      </c>
      <c r="B140" s="8"/>
      <c r="C140" s="8"/>
      <c r="D140" s="8" t="str">
        <f ca="1">IFERROR(__xludf.DUMMYFUNCTION("""COMPUTED_VALUE"""),"23/07/2024")</f>
        <v>23/07/2024</v>
      </c>
      <c r="E140" s="16" t="str">
        <f ca="1">IFERROR(__xludf.DUMMYFUNCTION("""COMPUTED_VALUE"""),"Player")</f>
        <v>Player</v>
      </c>
      <c r="F140" s="8" t="str">
        <f ca="1">IFERROR(__xludf.DUMMYFUNCTION("""COMPUTED_VALUE"""),"Pisacane, Pietro")</f>
        <v>Pisacane, Pietro</v>
      </c>
      <c r="G140" s="16" t="str">
        <f ca="1">IFERROR(__xludf.DUMMYFUNCTION("""COMPUTED_VALUE"""),"ITA")</f>
        <v>ITA</v>
      </c>
      <c r="H140" s="8"/>
      <c r="I140" s="8">
        <f ca="1">IFERROR(__xludf.DUMMYFUNCTION("""COMPUTED_VALUE"""),100)</f>
        <v>100</v>
      </c>
      <c r="J140" s="8"/>
      <c r="K140" s="8"/>
      <c r="L140" s="8" t="str">
        <f ca="1">IFERROR(__xludf.DUMMYFUNCTION("""COMPUTED_VALUE"""),"ASD Pedone Isolano")</f>
        <v>ASD Pedone Isolano</v>
      </c>
      <c r="M140" s="16" t="str">
        <f ca="1">IFERROR(__xludf.DUMMYFUNCTION("""COMPUTED_VALUE"""),"ITA")</f>
        <v>ITA</v>
      </c>
      <c r="N140" s="16" t="str">
        <f ca="1">IFERROR(__xludf.DUMMYFUNCTION("""COMPUTED_VALUE"""),"Zepter")</f>
        <v>Zepter</v>
      </c>
      <c r="O140" s="8" t="str">
        <f ca="1">IFERROR(__xludf.DUMMYFUNCTION("""COMPUTED_VALUE"""),"Cappai Davide")</f>
        <v>Cappai Davide</v>
      </c>
      <c r="P140" s="8">
        <f ca="1">IFERROR(__xludf.DUMMYFUNCTION("""COMPUTED_VALUE"""),82)</f>
        <v>82</v>
      </c>
      <c r="Q140" s="8">
        <f ca="1">IFERROR(__xludf.DUMMYFUNCTION("""COMPUTED_VALUE"""),8)</f>
        <v>8</v>
      </c>
      <c r="R140" s="8">
        <f ca="1">IFERROR(__xludf.DUMMYFUNCTION("""COMPUTED_VALUE"""),656)</f>
        <v>656</v>
      </c>
      <c r="S140" s="8">
        <f ca="1">IFERROR(__xludf.DUMMYFUNCTION("""COMPUTED_VALUE"""),12.8)</f>
        <v>12.8</v>
      </c>
      <c r="T140" s="8">
        <f ca="1">IFERROR(__xludf.DUMMYFUNCTION("""COMPUTED_VALUE"""),668.8)</f>
        <v>668.8</v>
      </c>
      <c r="U140" s="8"/>
      <c r="V140" s="8"/>
      <c r="W140" s="8"/>
      <c r="X140" s="8"/>
      <c r="Y140" s="8"/>
      <c r="Z140" s="37" t="str">
        <f ca="1">IFERROR(__xludf.DUMMYFUNCTION("""COMPUTED_VALUE"""),"JU402")</f>
        <v>JU402</v>
      </c>
      <c r="AA140" s="37" t="str">
        <f ca="1">IFERROR(__xludf.DUMMYFUNCTION("""COMPUTED_VALUE"""),"27/10/2024")</f>
        <v>27/10/2024</v>
      </c>
      <c r="AB140" s="59">
        <f ca="1">IFERROR(__xludf.DUMMYFUNCTION("""COMPUTED_VALUE"""),0.520833333333333)</f>
        <v>0.52083333333333304</v>
      </c>
    </row>
    <row r="141" spans="1:28" ht="14.55" customHeight="1" x14ac:dyDescent="0.3">
      <c r="A141" s="8">
        <v>14</v>
      </c>
      <c r="B141" s="8"/>
      <c r="C141" s="8"/>
      <c r="D141" s="13">
        <f ca="1">IFERROR(__xludf.DUMMYFUNCTION("""COMPUTED_VALUE"""),45512)</f>
        <v>45512</v>
      </c>
      <c r="E141" s="16" t="str">
        <f ca="1">IFERROR(__xludf.DUMMYFUNCTION("""COMPUTED_VALUE"""),"Player")</f>
        <v>Player</v>
      </c>
      <c r="F141" s="8" t="str">
        <f ca="1">IFERROR(__xludf.DUMMYFUNCTION("""COMPUTED_VALUE"""),"Willemze, Thomas")</f>
        <v>Willemze, Thomas</v>
      </c>
      <c r="G141" s="16" t="str">
        <f ca="1">IFERROR(__xludf.DUMMYFUNCTION("""COMPUTED_VALUE"""),"NED")</f>
        <v>NED</v>
      </c>
      <c r="H141" s="8"/>
      <c r="I141" s="8">
        <f ca="1">IFERROR(__xludf.DUMMYFUNCTION("""COMPUTED_VALUE"""),100)</f>
        <v>100</v>
      </c>
      <c r="J141" s="8"/>
      <c r="K141" s="8"/>
      <c r="L141" s="8" t="str">
        <f ca="1">IFERROR(__xludf.DUMMYFUNCTION("""COMPUTED_VALUE"""),"SV Erkenschwick")</f>
        <v>SV Erkenschwick</v>
      </c>
      <c r="M141" s="16" t="str">
        <f ca="1">IFERROR(__xludf.DUMMYFUNCTION("""COMPUTED_VALUE"""),"GER")</f>
        <v>GER</v>
      </c>
      <c r="N141" s="16" t="str">
        <f ca="1">IFERROR(__xludf.DUMMYFUNCTION("""COMPUTED_VALUE"""),"Fontana")</f>
        <v>Fontana</v>
      </c>
      <c r="O141" s="8"/>
      <c r="P141" s="8">
        <f ca="1">IFERROR(__xludf.DUMMYFUNCTION("""COMPUTED_VALUE"""),104)</f>
        <v>104</v>
      </c>
      <c r="Q141" s="8">
        <f ca="1">IFERROR(__xludf.DUMMYFUNCTION("""COMPUTED_VALUE"""),8)</f>
        <v>8</v>
      </c>
      <c r="R141" s="8">
        <f ca="1">IFERROR(__xludf.DUMMYFUNCTION("""COMPUTED_VALUE"""),832)</f>
        <v>832</v>
      </c>
      <c r="S141" s="8">
        <f ca="1">IFERROR(__xludf.DUMMYFUNCTION("""COMPUTED_VALUE"""),12.8)</f>
        <v>12.8</v>
      </c>
      <c r="T141" s="8">
        <f ca="1">IFERROR(__xludf.DUMMYFUNCTION("""COMPUTED_VALUE"""),844.8)</f>
        <v>844.8</v>
      </c>
      <c r="U141" s="8"/>
      <c r="V141" s="8"/>
      <c r="W141" s="8"/>
      <c r="X141" s="8"/>
      <c r="Y141" s="8"/>
      <c r="Z141" s="37" t="str">
        <f ca="1">IFERROR(__xludf.DUMMYFUNCTION("""COMPUTED_VALUE"""),"KL1984")</f>
        <v>KL1984</v>
      </c>
      <c r="AA141" s="37" t="str">
        <f ca="1">IFERROR(__xludf.DUMMYFUNCTION("""COMPUTED_VALUE"""),"27/10/2024")</f>
        <v>27/10/2024</v>
      </c>
      <c r="AB141" s="59">
        <f ca="1">IFERROR(__xludf.DUMMYFUNCTION("""COMPUTED_VALUE"""),0.520833333333333)</f>
        <v>0.52083333333333304</v>
      </c>
    </row>
    <row r="142" spans="1:28" ht="14.55" customHeight="1" x14ac:dyDescent="0.3">
      <c r="A142" s="8">
        <v>15</v>
      </c>
      <c r="B142" s="8"/>
      <c r="C142" s="8"/>
      <c r="D142" s="13">
        <f ca="1">IFERROR(__xludf.DUMMYFUNCTION("""COMPUTED_VALUE"""),45512)</f>
        <v>45512</v>
      </c>
      <c r="E142" s="16" t="str">
        <f ca="1">IFERROR(__xludf.DUMMYFUNCTION("""COMPUTED_VALUE"""),"Player")</f>
        <v>Player</v>
      </c>
      <c r="F142" s="8" t="str">
        <f ca="1">IFERROR(__xludf.DUMMYFUNCTION("""COMPUTED_VALUE"""),"Van Beek, Alexander")</f>
        <v>Van Beek, Alexander</v>
      </c>
      <c r="G142" s="16" t="str">
        <f ca="1">IFERROR(__xludf.DUMMYFUNCTION("""COMPUTED_VALUE"""),"NED")</f>
        <v>NED</v>
      </c>
      <c r="H142" s="8"/>
      <c r="I142" s="8">
        <f ca="1">IFERROR(__xludf.DUMMYFUNCTION("""COMPUTED_VALUE"""),100)</f>
        <v>100</v>
      </c>
      <c r="J142" s="8"/>
      <c r="K142" s="8"/>
      <c r="L142" s="8" t="str">
        <f ca="1">IFERROR(__xludf.DUMMYFUNCTION("""COMPUTED_VALUE"""),"SV Erkenschwick")</f>
        <v>SV Erkenschwick</v>
      </c>
      <c r="M142" s="16" t="str">
        <f ca="1">IFERROR(__xludf.DUMMYFUNCTION("""COMPUTED_VALUE"""),"GER")</f>
        <v>GER</v>
      </c>
      <c r="N142" s="16" t="str">
        <f ca="1">IFERROR(__xludf.DUMMYFUNCTION("""COMPUTED_VALUE"""),"Fontana")</f>
        <v>Fontana</v>
      </c>
      <c r="O142" s="8"/>
      <c r="P142" s="8">
        <f ca="1">IFERROR(__xludf.DUMMYFUNCTION("""COMPUTED_VALUE"""),104)</f>
        <v>104</v>
      </c>
      <c r="Q142" s="8">
        <f ca="1">IFERROR(__xludf.DUMMYFUNCTION("""COMPUTED_VALUE"""),8)</f>
        <v>8</v>
      </c>
      <c r="R142" s="8">
        <f ca="1">IFERROR(__xludf.DUMMYFUNCTION("""COMPUTED_VALUE"""),832)</f>
        <v>832</v>
      </c>
      <c r="S142" s="8">
        <f ca="1">IFERROR(__xludf.DUMMYFUNCTION("""COMPUTED_VALUE"""),12.8)</f>
        <v>12.8</v>
      </c>
      <c r="T142" s="8">
        <f ca="1">IFERROR(__xludf.DUMMYFUNCTION("""COMPUTED_VALUE"""),844.8)</f>
        <v>844.8</v>
      </c>
      <c r="U142" s="8"/>
      <c r="V142" s="8"/>
      <c r="W142" s="8"/>
      <c r="X142" s="8"/>
      <c r="Y142" s="8"/>
      <c r="Z142" s="37" t="str">
        <f ca="1">IFERROR(__xludf.DUMMYFUNCTION("""COMPUTED_VALUE"""),"KL1984")</f>
        <v>KL1984</v>
      </c>
      <c r="AA142" s="37" t="str">
        <f ca="1">IFERROR(__xludf.DUMMYFUNCTION("""COMPUTED_VALUE"""),"27/10/2024")</f>
        <v>27/10/2024</v>
      </c>
      <c r="AB142" s="59">
        <f ca="1">IFERROR(__xludf.DUMMYFUNCTION("""COMPUTED_VALUE"""),0.520833333333333)</f>
        <v>0.52083333333333304</v>
      </c>
    </row>
    <row r="143" spans="1:28" ht="14.55" customHeight="1" x14ac:dyDescent="0.3">
      <c r="A143" s="8">
        <v>16</v>
      </c>
      <c r="B143" s="8"/>
      <c r="C143" s="8"/>
      <c r="D143" s="13">
        <f ca="1">IFERROR(__xludf.DUMMYFUNCTION("""COMPUTED_VALUE"""),45542)</f>
        <v>45542</v>
      </c>
      <c r="E143" s="16" t="str">
        <f ca="1">IFERROR(__xludf.DUMMYFUNCTION("""COMPUTED_VALUE"""),"Player")</f>
        <v>Player</v>
      </c>
      <c r="F143" s="8" t="str">
        <f ca="1">IFERROR(__xludf.DUMMYFUNCTION("""COMPUTED_VALUE"""),"McAndrew, Robert")</f>
        <v>McAndrew, Robert</v>
      </c>
      <c r="G143" s="16" t="str">
        <f ca="1">IFERROR(__xludf.DUMMYFUNCTION("""COMPUTED_VALUE"""),"SCO")</f>
        <v>SCO</v>
      </c>
      <c r="H143" s="8"/>
      <c r="I143" s="8">
        <f ca="1">IFERROR(__xludf.DUMMYFUNCTION("""COMPUTED_VALUE"""),100)</f>
        <v>100</v>
      </c>
      <c r="J143" s="8"/>
      <c r="K143" s="8"/>
      <c r="L143" s="8" t="str">
        <f ca="1">IFERROR(__xludf.DUMMYFUNCTION("""COMPUTED_VALUE"""),"Gambit Bonnevoie II")</f>
        <v>Gambit Bonnevoie II</v>
      </c>
      <c r="M143" s="16" t="str">
        <f ca="1">IFERROR(__xludf.DUMMYFUNCTION("""COMPUTED_VALUE"""),"LUX")</f>
        <v>LUX</v>
      </c>
      <c r="N143" s="16" t="str">
        <f ca="1">IFERROR(__xludf.DUMMYFUNCTION("""COMPUTED_VALUE"""),"Fontana")</f>
        <v>Fontana</v>
      </c>
      <c r="O143" s="8"/>
      <c r="P143" s="8">
        <f ca="1">IFERROR(__xludf.DUMMYFUNCTION("""COMPUTED_VALUE"""),104)</f>
        <v>104</v>
      </c>
      <c r="Q143" s="8">
        <f ca="1">IFERROR(__xludf.DUMMYFUNCTION("""COMPUTED_VALUE"""),8)</f>
        <v>8</v>
      </c>
      <c r="R143" s="8">
        <f ca="1">IFERROR(__xludf.DUMMYFUNCTION("""COMPUTED_VALUE"""),832)</f>
        <v>832</v>
      </c>
      <c r="S143" s="8">
        <f ca="1">IFERROR(__xludf.DUMMYFUNCTION("""COMPUTED_VALUE"""),12.8)</f>
        <v>12.8</v>
      </c>
      <c r="T143" s="8">
        <f ca="1">IFERROR(__xludf.DUMMYFUNCTION("""COMPUTED_VALUE"""),844.8)</f>
        <v>844.8</v>
      </c>
      <c r="U143" s="8"/>
      <c r="V143" s="8"/>
      <c r="W143" s="8"/>
      <c r="X143" s="8"/>
      <c r="Y143" s="8"/>
      <c r="Z143" s="37" t="str">
        <f ca="1">IFERROR(__xludf.DUMMYFUNCTION("""COMPUTED_VALUE"""),"KL 1984")</f>
        <v>KL 1984</v>
      </c>
      <c r="AA143" s="37" t="str">
        <f ca="1">IFERROR(__xludf.DUMMYFUNCTION("""COMPUTED_VALUE"""),"27/10/2024")</f>
        <v>27/10/2024</v>
      </c>
      <c r="AB143" s="59">
        <v>0.52083333333333337</v>
      </c>
    </row>
    <row r="144" spans="1:28" ht="14.55" customHeight="1" x14ac:dyDescent="0.3">
      <c r="A144" s="8">
        <v>17</v>
      </c>
      <c r="B144" s="8"/>
      <c r="C144" s="8"/>
      <c r="D144" s="8" t="str">
        <f ca="1">IFERROR(__xludf.DUMMYFUNCTION("""COMPUTED_VALUE"""),"31/07/2024")</f>
        <v>31/07/2024</v>
      </c>
      <c r="E144" s="16" t="str">
        <f ca="1">IFERROR(__xludf.DUMMYFUNCTION("""COMPUTED_VALUE"""),"Player")</f>
        <v>Player</v>
      </c>
      <c r="F144" s="8" t="str">
        <f ca="1">IFERROR(__xludf.DUMMYFUNCTION("""COMPUTED_VALUE"""),"Varnam, Liam D")</f>
        <v>Varnam, Liam D</v>
      </c>
      <c r="G144" s="16" t="str">
        <f ca="1">IFERROR(__xludf.DUMMYFUNCTION("""COMPUTED_VALUE"""),"ENG")</f>
        <v>ENG</v>
      </c>
      <c r="H144" s="8"/>
      <c r="I144" s="8">
        <f ca="1">IFERROR(__xludf.DUMMYFUNCTION("""COMPUTED_VALUE"""),100)</f>
        <v>100</v>
      </c>
      <c r="J144" s="8"/>
      <c r="K144" s="8"/>
      <c r="L144" s="8" t="str">
        <f ca="1">IFERROR(__xludf.DUMMYFUNCTION("""COMPUTED_VALUE"""),"The Sharks")</f>
        <v>The Sharks</v>
      </c>
      <c r="M144" s="16" t="str">
        <f ca="1">IFERROR(__xludf.DUMMYFUNCTION("""COMPUTED_VALUE"""),"ENG")</f>
        <v>ENG</v>
      </c>
      <c r="N144" s="16" t="str">
        <f ca="1">IFERROR(__xludf.DUMMYFUNCTION("""COMPUTED_VALUE"""),"Fontana")</f>
        <v>Fontana</v>
      </c>
      <c r="O144" s="8"/>
      <c r="P144" s="8">
        <f ca="1">IFERROR(__xludf.DUMMYFUNCTION("""COMPUTED_VALUE"""),104)</f>
        <v>104</v>
      </c>
      <c r="Q144" s="8">
        <f ca="1">IFERROR(__xludf.DUMMYFUNCTION("""COMPUTED_VALUE"""),8)</f>
        <v>8</v>
      </c>
      <c r="R144" s="8">
        <f ca="1">IFERROR(__xludf.DUMMYFUNCTION("""COMPUTED_VALUE"""),832)</f>
        <v>832</v>
      </c>
      <c r="S144" s="8">
        <f ca="1">IFERROR(__xludf.DUMMYFUNCTION("""COMPUTED_VALUE"""),12.8)</f>
        <v>12.8</v>
      </c>
      <c r="T144" s="8">
        <f ca="1">IFERROR(__xludf.DUMMYFUNCTION("""COMPUTED_VALUE"""),844.8)</f>
        <v>844.8</v>
      </c>
      <c r="U144" s="8"/>
      <c r="V144" s="8"/>
      <c r="W144" s="8"/>
      <c r="X144" s="8"/>
      <c r="Y144" s="8"/>
      <c r="Z144" s="37" t="str">
        <f ca="1">IFERROR(__xludf.DUMMYFUNCTION("""COMPUTED_VALUE"""),"LH1407")</f>
        <v>LH1407</v>
      </c>
      <c r="AA144" s="37" t="str">
        <f ca="1">IFERROR(__xludf.DUMMYFUNCTION("""COMPUTED_VALUE"""),"27/10/2024")</f>
        <v>27/10/2024</v>
      </c>
      <c r="AB144" s="59">
        <v>0.52083333333333337</v>
      </c>
    </row>
    <row r="145" spans="1:28" ht="14.55" customHeight="1" x14ac:dyDescent="0.3">
      <c r="A145" s="8">
        <v>18</v>
      </c>
      <c r="B145" s="8"/>
      <c r="C145" s="8"/>
      <c r="D145" s="8" t="str">
        <f ca="1">IFERROR(__xludf.DUMMYFUNCTION("""COMPUTED_VALUE"""),"18/07/2024")</f>
        <v>18/07/2024</v>
      </c>
      <c r="E145" s="16" t="str">
        <f ca="1">IFERROR(__xludf.DUMMYFUNCTION("""COMPUTED_VALUE"""),"Player")</f>
        <v>Player</v>
      </c>
      <c r="F145" s="8" t="str">
        <f ca="1">IFERROR(__xludf.DUMMYFUNCTION("""COMPUTED_VALUE"""),"Tiggelman, Rene")</f>
        <v>Tiggelman, Rene</v>
      </c>
      <c r="G145" s="16" t="str">
        <f ca="1">IFERROR(__xludf.DUMMYFUNCTION("""COMPUTED_VALUE"""),"BEL")</f>
        <v>BEL</v>
      </c>
      <c r="H145" s="8"/>
      <c r="I145" s="8">
        <f ca="1">IFERROR(__xludf.DUMMYFUNCTION("""COMPUTED_VALUE"""),100)</f>
        <v>100</v>
      </c>
      <c r="J145" s="8"/>
      <c r="K145" s="8"/>
      <c r="L145" s="8" t="str">
        <f ca="1">IFERROR(__xludf.DUMMYFUNCTION("""COMPUTED_VALUE"""),"(Wetteren) Koninklijke Wetterse Vrijpion")</f>
        <v>(Wetteren) Koninklijke Wetterse Vrijpion</v>
      </c>
      <c r="M145" s="16" t="str">
        <f ca="1">IFERROR(__xludf.DUMMYFUNCTION("""COMPUTED_VALUE"""),"BEL")</f>
        <v>BEL</v>
      </c>
      <c r="N145" s="16" t="str">
        <f ca="1">IFERROR(__xludf.DUMMYFUNCTION("""COMPUTED_VALUE"""),"Zepter")</f>
        <v>Zepter</v>
      </c>
      <c r="O145" s="8"/>
      <c r="P145" s="8">
        <f ca="1">IFERROR(__xludf.DUMMYFUNCTION("""COMPUTED_VALUE"""),104)</f>
        <v>104</v>
      </c>
      <c r="Q145" s="8">
        <f ca="1">IFERROR(__xludf.DUMMYFUNCTION("""COMPUTED_VALUE"""),8)</f>
        <v>8</v>
      </c>
      <c r="R145" s="8">
        <f ca="1">IFERROR(__xludf.DUMMYFUNCTION("""COMPUTED_VALUE"""),832)</f>
        <v>832</v>
      </c>
      <c r="S145" s="8">
        <f ca="1">IFERROR(__xludf.DUMMYFUNCTION("""COMPUTED_VALUE"""),12.8)</f>
        <v>12.8</v>
      </c>
      <c r="T145" s="8">
        <f ca="1">IFERROR(__xludf.DUMMYFUNCTION("""COMPUTED_VALUE"""),844.8)</f>
        <v>844.8</v>
      </c>
      <c r="U145" s="8"/>
      <c r="V145" s="8"/>
      <c r="W145" s="8"/>
      <c r="X145" s="8"/>
      <c r="Y145" s="8"/>
      <c r="Z145" s="37" t="str">
        <f ca="1">IFERROR(__xludf.DUMMYFUNCTION("""COMPUTED_VALUE"""),"KL1984")</f>
        <v>KL1984</v>
      </c>
      <c r="AA145" s="37" t="str">
        <f ca="1">IFERROR(__xludf.DUMMYFUNCTION("""COMPUTED_VALUE"""),"27/10/2024")</f>
        <v>27/10/2024</v>
      </c>
      <c r="AB145" s="59">
        <f ca="1">IFERROR(__xludf.DUMMYFUNCTION("""COMPUTED_VALUE"""),0.524305555555555)</f>
        <v>0.52430555555555503</v>
      </c>
    </row>
    <row r="146" spans="1:28" ht="14.55" customHeight="1" x14ac:dyDescent="0.3">
      <c r="A146" s="8">
        <v>19</v>
      </c>
      <c r="B146" s="8"/>
      <c r="C146" s="8"/>
      <c r="D146" s="8" t="str">
        <f ca="1">IFERROR(__xludf.DUMMYFUNCTION("""COMPUTED_VALUE"""),"18/07/2024")</f>
        <v>18/07/2024</v>
      </c>
      <c r="E146" s="16" t="str">
        <f ca="1">IFERROR(__xludf.DUMMYFUNCTION("""COMPUTED_VALUE"""),"Player")</f>
        <v>Player</v>
      </c>
      <c r="F146" s="8" t="str">
        <f ca="1">IFERROR(__xludf.DUMMYFUNCTION("""COMPUTED_VALUE"""),"Van Houtte, Randy")</f>
        <v>Van Houtte, Randy</v>
      </c>
      <c r="G146" s="16" t="str">
        <f ca="1">IFERROR(__xludf.DUMMYFUNCTION("""COMPUTED_VALUE"""),"BEL")</f>
        <v>BEL</v>
      </c>
      <c r="H146" s="8"/>
      <c r="I146" s="8">
        <f ca="1">IFERROR(__xludf.DUMMYFUNCTION("""COMPUTED_VALUE"""),100)</f>
        <v>100</v>
      </c>
      <c r="J146" s="8"/>
      <c r="K146" s="8"/>
      <c r="L146" s="8" t="str">
        <f ca="1">IFERROR(__xludf.DUMMYFUNCTION("""COMPUTED_VALUE"""),"(Wetteren) Koninklijke Wetterse Vrijpion")</f>
        <v>(Wetteren) Koninklijke Wetterse Vrijpion</v>
      </c>
      <c r="M146" s="16" t="str">
        <f ca="1">IFERROR(__xludf.DUMMYFUNCTION("""COMPUTED_VALUE"""),"BEL")</f>
        <v>BEL</v>
      </c>
      <c r="N146" s="16" t="str">
        <f ca="1">IFERROR(__xludf.DUMMYFUNCTION("""COMPUTED_VALUE"""),"Zepter")</f>
        <v>Zepter</v>
      </c>
      <c r="O146" s="8"/>
      <c r="P146" s="8">
        <f ca="1">IFERROR(__xludf.DUMMYFUNCTION("""COMPUTED_VALUE"""),104)</f>
        <v>104</v>
      </c>
      <c r="Q146" s="8">
        <f ca="1">IFERROR(__xludf.DUMMYFUNCTION("""COMPUTED_VALUE"""),8)</f>
        <v>8</v>
      </c>
      <c r="R146" s="8">
        <f ca="1">IFERROR(__xludf.DUMMYFUNCTION("""COMPUTED_VALUE"""),832)</f>
        <v>832</v>
      </c>
      <c r="S146" s="8">
        <f ca="1">IFERROR(__xludf.DUMMYFUNCTION("""COMPUTED_VALUE"""),12.8)</f>
        <v>12.8</v>
      </c>
      <c r="T146" s="8">
        <f ca="1">IFERROR(__xludf.DUMMYFUNCTION("""COMPUTED_VALUE"""),844.8)</f>
        <v>844.8</v>
      </c>
      <c r="U146" s="8"/>
      <c r="V146" s="8"/>
      <c r="W146" s="8"/>
      <c r="X146" s="8"/>
      <c r="Y146" s="8"/>
      <c r="Z146" s="37" t="str">
        <f ca="1">IFERROR(__xludf.DUMMYFUNCTION("""COMPUTED_VALUE"""),"KL1984")</f>
        <v>KL1984</v>
      </c>
      <c r="AA146" s="37" t="str">
        <f ca="1">IFERROR(__xludf.DUMMYFUNCTION("""COMPUTED_VALUE"""),"27/10/2024")</f>
        <v>27/10/2024</v>
      </c>
      <c r="AB146" s="59">
        <f ca="1">IFERROR(__xludf.DUMMYFUNCTION("""COMPUTED_VALUE"""),0.524305555555555)</f>
        <v>0.52430555555555503</v>
      </c>
    </row>
    <row r="147" spans="1:28" ht="14.55" customHeight="1" x14ac:dyDescent="0.3">
      <c r="A147" s="8">
        <v>20</v>
      </c>
      <c r="B147" s="8"/>
      <c r="C147" s="8"/>
      <c r="D147" s="8" t="str">
        <f ca="1">IFERROR(__xludf.DUMMYFUNCTION("""COMPUTED_VALUE"""),"18/07/2024")</f>
        <v>18/07/2024</v>
      </c>
      <c r="E147" s="16" t="str">
        <f ca="1">IFERROR(__xludf.DUMMYFUNCTION("""COMPUTED_VALUE"""),"Player")</f>
        <v>Player</v>
      </c>
      <c r="F147" s="8" t="str">
        <f ca="1">IFERROR(__xludf.DUMMYFUNCTION("""COMPUTED_VALUE"""),"Maes, Tibo")</f>
        <v>Maes, Tibo</v>
      </c>
      <c r="G147" s="16" t="str">
        <f ca="1">IFERROR(__xludf.DUMMYFUNCTION("""COMPUTED_VALUE"""),"BEL")</f>
        <v>BEL</v>
      </c>
      <c r="H147" s="8"/>
      <c r="I147" s="8">
        <f ca="1">IFERROR(__xludf.DUMMYFUNCTION("""COMPUTED_VALUE"""),100)</f>
        <v>100</v>
      </c>
      <c r="J147" s="8"/>
      <c r="K147" s="8"/>
      <c r="L147" s="8" t="str">
        <f ca="1">IFERROR(__xludf.DUMMYFUNCTION("""COMPUTED_VALUE"""),"(Wetteren) Koninklijke Wetterse Vrijpion")</f>
        <v>(Wetteren) Koninklijke Wetterse Vrijpion</v>
      </c>
      <c r="M147" s="16" t="str">
        <f ca="1">IFERROR(__xludf.DUMMYFUNCTION("""COMPUTED_VALUE"""),"BEL")</f>
        <v>BEL</v>
      </c>
      <c r="N147" s="16" t="str">
        <f ca="1">IFERROR(__xludf.DUMMYFUNCTION("""COMPUTED_VALUE"""),"Zepter")</f>
        <v>Zepter</v>
      </c>
      <c r="O147" s="8"/>
      <c r="P147" s="8">
        <f ca="1">IFERROR(__xludf.DUMMYFUNCTION("""COMPUTED_VALUE"""),104)</f>
        <v>104</v>
      </c>
      <c r="Q147" s="8">
        <f ca="1">IFERROR(__xludf.DUMMYFUNCTION("""COMPUTED_VALUE"""),8)</f>
        <v>8</v>
      </c>
      <c r="R147" s="8">
        <f ca="1">IFERROR(__xludf.DUMMYFUNCTION("""COMPUTED_VALUE"""),832)</f>
        <v>832</v>
      </c>
      <c r="S147" s="8">
        <f ca="1">IFERROR(__xludf.DUMMYFUNCTION("""COMPUTED_VALUE"""),12.8)</f>
        <v>12.8</v>
      </c>
      <c r="T147" s="8">
        <f ca="1">IFERROR(__xludf.DUMMYFUNCTION("""COMPUTED_VALUE"""),844.8)</f>
        <v>844.8</v>
      </c>
      <c r="U147" s="8"/>
      <c r="V147" s="8"/>
      <c r="W147" s="8"/>
      <c r="X147" s="8"/>
      <c r="Y147" s="8"/>
      <c r="Z147" s="37" t="str">
        <f ca="1">IFERROR(__xludf.DUMMYFUNCTION("""COMPUTED_VALUE"""),"KL1984")</f>
        <v>KL1984</v>
      </c>
      <c r="AA147" s="37" t="str">
        <f ca="1">IFERROR(__xludf.DUMMYFUNCTION("""COMPUTED_VALUE"""),"27/10/2024")</f>
        <v>27/10/2024</v>
      </c>
      <c r="AB147" s="59">
        <f ca="1">IFERROR(__xludf.DUMMYFUNCTION("""COMPUTED_VALUE"""),0.524305555555555)</f>
        <v>0.52430555555555503</v>
      </c>
    </row>
    <row r="148" spans="1:28" ht="14.55" customHeight="1" x14ac:dyDescent="0.3">
      <c r="A148" s="8">
        <v>21</v>
      </c>
      <c r="B148" s="8"/>
      <c r="C148" s="8"/>
      <c r="D148" s="8" t="str">
        <f ca="1">IFERROR(__xludf.DUMMYFUNCTION("""COMPUTED_VALUE"""),"18/07/2024")</f>
        <v>18/07/2024</v>
      </c>
      <c r="E148" s="16" t="str">
        <f ca="1">IFERROR(__xludf.DUMMYFUNCTION("""COMPUTED_VALUE"""),"Player")</f>
        <v>Player</v>
      </c>
      <c r="F148" s="8" t="str">
        <f ca="1">IFERROR(__xludf.DUMMYFUNCTION("""COMPUTED_VALUE"""),"Lachaert, Tibo")</f>
        <v>Lachaert, Tibo</v>
      </c>
      <c r="G148" s="16" t="str">
        <f ca="1">IFERROR(__xludf.DUMMYFUNCTION("""COMPUTED_VALUE"""),"BEL")</f>
        <v>BEL</v>
      </c>
      <c r="H148" s="8"/>
      <c r="I148" s="8">
        <f ca="1">IFERROR(__xludf.DUMMYFUNCTION("""COMPUTED_VALUE"""),100)</f>
        <v>100</v>
      </c>
      <c r="J148" s="8"/>
      <c r="K148" s="8"/>
      <c r="L148" s="8" t="str">
        <f ca="1">IFERROR(__xludf.DUMMYFUNCTION("""COMPUTED_VALUE"""),"(Wetteren) Koninklijke Wetterse Vrijpion")</f>
        <v>(Wetteren) Koninklijke Wetterse Vrijpion</v>
      </c>
      <c r="M148" s="16" t="str">
        <f ca="1">IFERROR(__xludf.DUMMYFUNCTION("""COMPUTED_VALUE"""),"BEL")</f>
        <v>BEL</v>
      </c>
      <c r="N148" s="16" t="str">
        <f ca="1">IFERROR(__xludf.DUMMYFUNCTION("""COMPUTED_VALUE"""),"Zepter")</f>
        <v>Zepter</v>
      </c>
      <c r="O148" s="8"/>
      <c r="P148" s="8">
        <f ca="1">IFERROR(__xludf.DUMMYFUNCTION("""COMPUTED_VALUE"""),104)</f>
        <v>104</v>
      </c>
      <c r="Q148" s="8">
        <f ca="1">IFERROR(__xludf.DUMMYFUNCTION("""COMPUTED_VALUE"""),8)</f>
        <v>8</v>
      </c>
      <c r="R148" s="8">
        <f ca="1">IFERROR(__xludf.DUMMYFUNCTION("""COMPUTED_VALUE"""),832)</f>
        <v>832</v>
      </c>
      <c r="S148" s="8">
        <f ca="1">IFERROR(__xludf.DUMMYFUNCTION("""COMPUTED_VALUE"""),12.8)</f>
        <v>12.8</v>
      </c>
      <c r="T148" s="8">
        <f ca="1">IFERROR(__xludf.DUMMYFUNCTION("""COMPUTED_VALUE"""),844.8)</f>
        <v>844.8</v>
      </c>
      <c r="U148" s="8"/>
      <c r="V148" s="8"/>
      <c r="W148" s="8"/>
      <c r="X148" s="8"/>
      <c r="Y148" s="8"/>
      <c r="Z148" s="37" t="str">
        <f ca="1">IFERROR(__xludf.DUMMYFUNCTION("""COMPUTED_VALUE"""),"KL1984")</f>
        <v>KL1984</v>
      </c>
      <c r="AA148" s="37" t="str">
        <f ca="1">IFERROR(__xludf.DUMMYFUNCTION("""COMPUTED_VALUE"""),"27/10/2024")</f>
        <v>27/10/2024</v>
      </c>
      <c r="AB148" s="59">
        <f ca="1">IFERROR(__xludf.DUMMYFUNCTION("""COMPUTED_VALUE"""),0.524305555555555)</f>
        <v>0.52430555555555503</v>
      </c>
    </row>
    <row r="149" spans="1:28" ht="14.55" customHeight="1" x14ac:dyDescent="0.3">
      <c r="A149" s="8">
        <v>22</v>
      </c>
      <c r="B149" s="8"/>
      <c r="C149" s="8"/>
      <c r="D149" s="8" t="str">
        <f ca="1">IFERROR(__xludf.DUMMYFUNCTION("""COMPUTED_VALUE"""),"18/07/2024")</f>
        <v>18/07/2024</v>
      </c>
      <c r="E149" s="16" t="str">
        <f ca="1">IFERROR(__xludf.DUMMYFUNCTION("""COMPUTED_VALUE"""),"Player")</f>
        <v>Player</v>
      </c>
      <c r="F149" s="8" t="str">
        <f ca="1">IFERROR(__xludf.DUMMYFUNCTION("""COMPUTED_VALUE"""),"Jacobs, Michiel")</f>
        <v>Jacobs, Michiel</v>
      </c>
      <c r="G149" s="16" t="str">
        <f ca="1">IFERROR(__xludf.DUMMYFUNCTION("""COMPUTED_VALUE"""),"BEL")</f>
        <v>BEL</v>
      </c>
      <c r="H149" s="8"/>
      <c r="I149" s="8">
        <f ca="1">IFERROR(__xludf.DUMMYFUNCTION("""COMPUTED_VALUE"""),100)</f>
        <v>100</v>
      </c>
      <c r="J149" s="8"/>
      <c r="K149" s="8"/>
      <c r="L149" s="8" t="str">
        <f ca="1">IFERROR(__xludf.DUMMYFUNCTION("""COMPUTED_VALUE"""),"(Wetteren) Koninklijke Wetterse Vrijpion")</f>
        <v>(Wetteren) Koninklijke Wetterse Vrijpion</v>
      </c>
      <c r="M149" s="16" t="str">
        <f ca="1">IFERROR(__xludf.DUMMYFUNCTION("""COMPUTED_VALUE"""),"BEL")</f>
        <v>BEL</v>
      </c>
      <c r="N149" s="16" t="str">
        <f ca="1">IFERROR(__xludf.DUMMYFUNCTION("""COMPUTED_VALUE"""),"Zepter")</f>
        <v>Zepter</v>
      </c>
      <c r="O149" s="8"/>
      <c r="P149" s="8">
        <f ca="1">IFERROR(__xludf.DUMMYFUNCTION("""COMPUTED_VALUE"""),104)</f>
        <v>104</v>
      </c>
      <c r="Q149" s="8">
        <f ca="1">IFERROR(__xludf.DUMMYFUNCTION("""COMPUTED_VALUE"""),8)</f>
        <v>8</v>
      </c>
      <c r="R149" s="8">
        <f ca="1">IFERROR(__xludf.DUMMYFUNCTION("""COMPUTED_VALUE"""),832)</f>
        <v>832</v>
      </c>
      <c r="S149" s="8">
        <f ca="1">IFERROR(__xludf.DUMMYFUNCTION("""COMPUTED_VALUE"""),12.8)</f>
        <v>12.8</v>
      </c>
      <c r="T149" s="8">
        <f ca="1">IFERROR(__xludf.DUMMYFUNCTION("""COMPUTED_VALUE"""),844.8)</f>
        <v>844.8</v>
      </c>
      <c r="U149" s="8"/>
      <c r="V149" s="8"/>
      <c r="W149" s="8"/>
      <c r="X149" s="8"/>
      <c r="Y149" s="8"/>
      <c r="Z149" s="37" t="str">
        <f ca="1">IFERROR(__xludf.DUMMYFUNCTION("""COMPUTED_VALUE"""),"KL1984")</f>
        <v>KL1984</v>
      </c>
      <c r="AA149" s="37" t="str">
        <f ca="1">IFERROR(__xludf.DUMMYFUNCTION("""COMPUTED_VALUE"""),"27/10/2024")</f>
        <v>27/10/2024</v>
      </c>
      <c r="AB149" s="59">
        <f ca="1">IFERROR(__xludf.DUMMYFUNCTION("""COMPUTED_VALUE"""),0.524305555555555)</f>
        <v>0.52430555555555503</v>
      </c>
    </row>
    <row r="150" spans="1:28" ht="14.55" customHeight="1" x14ac:dyDescent="0.3">
      <c r="A150" s="8">
        <v>23</v>
      </c>
      <c r="B150" s="8"/>
      <c r="C150" s="8"/>
      <c r="D150" s="8" t="str">
        <f ca="1">IFERROR(__xludf.DUMMYFUNCTION("""COMPUTED_VALUE"""),"23/07/2024")</f>
        <v>23/07/2024</v>
      </c>
      <c r="E150" s="16" t="str">
        <f ca="1">IFERROR(__xludf.DUMMYFUNCTION("""COMPUTED_VALUE"""),"Player")</f>
        <v>Player</v>
      </c>
      <c r="F150" s="8" t="str">
        <f ca="1">IFERROR(__xludf.DUMMYFUNCTION("""COMPUTED_VALUE"""),"Lodici, Lorenzo")</f>
        <v>Lodici, Lorenzo</v>
      </c>
      <c r="G150" s="16" t="str">
        <f ca="1">IFERROR(__xludf.DUMMYFUNCTION("""COMPUTED_VALUE"""),"ITA")</f>
        <v>ITA</v>
      </c>
      <c r="H150" s="8"/>
      <c r="I150" s="8">
        <f ca="1">IFERROR(__xludf.DUMMYFUNCTION("""COMPUTED_VALUE"""),100)</f>
        <v>100</v>
      </c>
      <c r="J150" s="8"/>
      <c r="K150" s="8"/>
      <c r="L150" s="8" t="str">
        <f ca="1">IFERROR(__xludf.DUMMYFUNCTION("""COMPUTED_VALUE"""),"ASD Pedone Isolano")</f>
        <v>ASD Pedone Isolano</v>
      </c>
      <c r="M150" s="16" t="str">
        <f ca="1">IFERROR(__xludf.DUMMYFUNCTION("""COMPUTED_VALUE"""),"ITA")</f>
        <v>ITA</v>
      </c>
      <c r="N150" s="16" t="str">
        <f ca="1">IFERROR(__xludf.DUMMYFUNCTION("""COMPUTED_VALUE"""),"Zepter")</f>
        <v>Zepter</v>
      </c>
      <c r="O150" s="8" t="str">
        <f ca="1">IFERROR(__xludf.DUMMYFUNCTION("""COMPUTED_VALUE"""),"Barp Alberto")</f>
        <v>Barp Alberto</v>
      </c>
      <c r="P150" s="8">
        <f ca="1">IFERROR(__xludf.DUMMYFUNCTION("""COMPUTED_VALUE"""),82)</f>
        <v>82</v>
      </c>
      <c r="Q150" s="8">
        <f ca="1">IFERROR(__xludf.DUMMYFUNCTION("""COMPUTED_VALUE"""),8)</f>
        <v>8</v>
      </c>
      <c r="R150" s="8">
        <f ca="1">IFERROR(__xludf.DUMMYFUNCTION("""COMPUTED_VALUE"""),656)</f>
        <v>656</v>
      </c>
      <c r="S150" s="8">
        <f ca="1">IFERROR(__xludf.DUMMYFUNCTION("""COMPUTED_VALUE"""),12.8)</f>
        <v>12.8</v>
      </c>
      <c r="T150" s="8">
        <f ca="1">IFERROR(__xludf.DUMMYFUNCTION("""COMPUTED_VALUE"""),668.8)</f>
        <v>668.8</v>
      </c>
      <c r="U150" s="8"/>
      <c r="V150" s="8"/>
      <c r="W150" s="8"/>
      <c r="X150" s="8"/>
      <c r="Y150" s="8"/>
      <c r="Z150" s="37" t="str">
        <f ca="1">IFERROR(__xludf.DUMMYFUNCTION("""COMPUTED_VALUE"""),"KL1984")</f>
        <v>KL1984</v>
      </c>
      <c r="AA150" s="37" t="str">
        <f ca="1">IFERROR(__xludf.DUMMYFUNCTION("""COMPUTED_VALUE"""),"27/10/2024")</f>
        <v>27/10/2024</v>
      </c>
      <c r="AB150" s="59">
        <f ca="1">IFERROR(__xludf.DUMMYFUNCTION("""COMPUTED_VALUE"""),0.524305555555555)</f>
        <v>0.52430555555555503</v>
      </c>
    </row>
    <row r="151" spans="1:28" ht="14.55" customHeight="1" x14ac:dyDescent="0.3">
      <c r="A151" s="8">
        <v>24</v>
      </c>
      <c r="B151" s="8"/>
      <c r="C151" s="8"/>
      <c r="D151" s="8" t="str">
        <f ca="1">IFERROR(__xludf.DUMMYFUNCTION("""COMPUTED_VALUE"""),"25/07/2024")</f>
        <v>25/07/2024</v>
      </c>
      <c r="E151" s="16" t="str">
        <f ca="1">IFERROR(__xludf.DUMMYFUNCTION("""COMPUTED_VALUE"""),"Player")</f>
        <v>Player</v>
      </c>
      <c r="F151" s="8" t="str">
        <f ca="1">IFERROR(__xludf.DUMMYFUNCTION("""COMPUTED_VALUE"""),"Smeets, Jan")</f>
        <v>Smeets, Jan</v>
      </c>
      <c r="G151" s="16" t="str">
        <f ca="1">IFERROR(__xludf.DUMMYFUNCTION("""COMPUTED_VALUE"""),"NED")</f>
        <v>NED</v>
      </c>
      <c r="H151" s="8"/>
      <c r="I151" s="8">
        <f ca="1">IFERROR(__xludf.DUMMYFUNCTION("""COMPUTED_VALUE"""),100)</f>
        <v>100</v>
      </c>
      <c r="J151" s="8"/>
      <c r="K151" s="8"/>
      <c r="L151" s="8" t="str">
        <f ca="1">IFERROR(__xludf.DUMMYFUNCTION("""COMPUTED_VALUE"""),"LSG")</f>
        <v>LSG</v>
      </c>
      <c r="M151" s="16" t="str">
        <f ca="1">IFERROR(__xludf.DUMMYFUNCTION("""COMPUTED_VALUE"""),"NED")</f>
        <v>NED</v>
      </c>
      <c r="N151" s="16" t="str">
        <f ca="1">IFERROR(__xludf.DUMMYFUNCTION("""COMPUTED_VALUE"""),"Tonanti")</f>
        <v>Tonanti</v>
      </c>
      <c r="O151" s="8"/>
      <c r="P151" s="8">
        <f ca="1">IFERROR(__xludf.DUMMYFUNCTION("""COMPUTED_VALUE"""),108)</f>
        <v>108</v>
      </c>
      <c r="Q151" s="8">
        <f ca="1">IFERROR(__xludf.DUMMYFUNCTION("""COMPUTED_VALUE"""),8)</f>
        <v>8</v>
      </c>
      <c r="R151" s="8">
        <f ca="1">IFERROR(__xludf.DUMMYFUNCTION("""COMPUTED_VALUE"""),864)</f>
        <v>864</v>
      </c>
      <c r="S151" s="8">
        <f ca="1">IFERROR(__xludf.DUMMYFUNCTION("""COMPUTED_VALUE"""),12.8)</f>
        <v>12.8</v>
      </c>
      <c r="T151" s="8">
        <f ca="1">IFERROR(__xludf.DUMMYFUNCTION("""COMPUTED_VALUE"""),876.8)</f>
        <v>876.8</v>
      </c>
      <c r="U151" s="8">
        <f ca="1">IFERROR(__xludf.DUMMYFUNCTION("""COMPUTED_VALUE"""),864)</f>
        <v>864</v>
      </c>
      <c r="V151" s="8" t="str">
        <f ca="1">IFERROR(__xludf.DUMMYFUNCTION("""COMPUTED_VALUE"""),"29/07/2024")</f>
        <v>29/07/2024</v>
      </c>
      <c r="W151" s="8" t="str">
        <f ca="1">IFERROR(__xludf.DUMMYFUNCTION("""COMPUTED_VALUE"""),"YES")</f>
        <v>YES</v>
      </c>
      <c r="X151" s="8" t="str">
        <f ca="1">IFERROR(__xludf.DUMMYFUNCTION("""COMPUTED_VALUE"""),"Nije plaćena BT")</f>
        <v>Nije plaćena BT</v>
      </c>
      <c r="Y151" s="8"/>
      <c r="Z151" s="37" t="str">
        <f ca="1">IFERROR(__xludf.DUMMYFUNCTION("""COMPUTED_VALUE"""),"KL1984 BEG-AMS")</f>
        <v>KL1984 BEG-AMS</v>
      </c>
      <c r="AA151" s="37" t="str">
        <f ca="1">IFERROR(__xludf.DUMMYFUNCTION("""COMPUTED_VALUE"""),"27/10/2024")</f>
        <v>27/10/2024</v>
      </c>
      <c r="AB151" s="59">
        <f ca="1">IFERROR(__xludf.DUMMYFUNCTION("""COMPUTED_VALUE"""),0.524305555555555)</f>
        <v>0.52430555555555503</v>
      </c>
    </row>
    <row r="152" spans="1:28" ht="14.55" customHeight="1" x14ac:dyDescent="0.3">
      <c r="A152" s="8">
        <v>25</v>
      </c>
      <c r="B152" s="8"/>
      <c r="C152" s="8"/>
      <c r="D152" s="8" t="str">
        <f ca="1">IFERROR(__xludf.DUMMYFUNCTION("""COMPUTED_VALUE"""),"25/07/2024")</f>
        <v>25/07/2024</v>
      </c>
      <c r="E152" s="16" t="str">
        <f ca="1">IFERROR(__xludf.DUMMYFUNCTION("""COMPUTED_VALUE"""),"Player")</f>
        <v>Player</v>
      </c>
      <c r="F152" s="8" t="str">
        <f ca="1">IFERROR(__xludf.DUMMYFUNCTION("""COMPUTED_VALUE"""),"Pijpers, Arthur")</f>
        <v>Pijpers, Arthur</v>
      </c>
      <c r="G152" s="16" t="str">
        <f ca="1">IFERROR(__xludf.DUMMYFUNCTION("""COMPUTED_VALUE"""),"NED")</f>
        <v>NED</v>
      </c>
      <c r="H152" s="8"/>
      <c r="I152" s="8">
        <f ca="1">IFERROR(__xludf.DUMMYFUNCTION("""COMPUTED_VALUE"""),100)</f>
        <v>100</v>
      </c>
      <c r="J152" s="8"/>
      <c r="K152" s="8"/>
      <c r="L152" s="8" t="str">
        <f ca="1">IFERROR(__xludf.DUMMYFUNCTION("""COMPUTED_VALUE"""),"LSG")</f>
        <v>LSG</v>
      </c>
      <c r="M152" s="16" t="str">
        <f ca="1">IFERROR(__xludf.DUMMYFUNCTION("""COMPUTED_VALUE"""),"NED")</f>
        <v>NED</v>
      </c>
      <c r="N152" s="16" t="str">
        <f ca="1">IFERROR(__xludf.DUMMYFUNCTION("""COMPUTED_VALUE"""),"Tonanti")</f>
        <v>Tonanti</v>
      </c>
      <c r="O152" s="8"/>
      <c r="P152" s="8">
        <f ca="1">IFERROR(__xludf.DUMMYFUNCTION("""COMPUTED_VALUE"""),108)</f>
        <v>108</v>
      </c>
      <c r="Q152" s="8">
        <f ca="1">IFERROR(__xludf.DUMMYFUNCTION("""COMPUTED_VALUE"""),8)</f>
        <v>8</v>
      </c>
      <c r="R152" s="8">
        <f ca="1">IFERROR(__xludf.DUMMYFUNCTION("""COMPUTED_VALUE"""),864)</f>
        <v>864</v>
      </c>
      <c r="S152" s="8">
        <f ca="1">IFERROR(__xludf.DUMMYFUNCTION("""COMPUTED_VALUE"""),12.8)</f>
        <v>12.8</v>
      </c>
      <c r="T152" s="8">
        <f ca="1">IFERROR(__xludf.DUMMYFUNCTION("""COMPUTED_VALUE"""),876.8)</f>
        <v>876.8</v>
      </c>
      <c r="U152" s="8">
        <f ca="1">IFERROR(__xludf.DUMMYFUNCTION("""COMPUTED_VALUE"""),864)</f>
        <v>864</v>
      </c>
      <c r="V152" s="8" t="str">
        <f ca="1">IFERROR(__xludf.DUMMYFUNCTION("""COMPUTED_VALUE"""),"29/07/2024")</f>
        <v>29/07/2024</v>
      </c>
      <c r="W152" s="8" t="str">
        <f ca="1">IFERROR(__xludf.DUMMYFUNCTION("""COMPUTED_VALUE"""),"YES")</f>
        <v>YES</v>
      </c>
      <c r="X152" s="8" t="str">
        <f ca="1">IFERROR(__xludf.DUMMYFUNCTION("""COMPUTED_VALUE"""),"Nije plaćena BT")</f>
        <v>Nije plaćena BT</v>
      </c>
      <c r="Y152" s="8"/>
      <c r="Z152" s="37" t="str">
        <f ca="1">IFERROR(__xludf.DUMMYFUNCTION("""COMPUTED_VALUE"""),"KL1984 BEG-AMS")</f>
        <v>KL1984 BEG-AMS</v>
      </c>
      <c r="AA152" s="37" t="str">
        <f ca="1">IFERROR(__xludf.DUMMYFUNCTION("""COMPUTED_VALUE"""),"27/10/2024")</f>
        <v>27/10/2024</v>
      </c>
      <c r="AB152" s="59">
        <f ca="1">IFERROR(__xludf.DUMMYFUNCTION("""COMPUTED_VALUE"""),0.524305555555555)</f>
        <v>0.52430555555555503</v>
      </c>
    </row>
    <row r="153" spans="1:28" ht="14.55" customHeight="1" x14ac:dyDescent="0.3">
      <c r="A153" s="8">
        <v>26</v>
      </c>
      <c r="B153" s="8"/>
      <c r="C153" s="8"/>
      <c r="D153" s="8" t="str">
        <f ca="1">IFERROR(__xludf.DUMMYFUNCTION("""COMPUTED_VALUE"""),"25/07/2024")</f>
        <v>25/07/2024</v>
      </c>
      <c r="E153" s="16" t="str">
        <f ca="1">IFERROR(__xludf.DUMMYFUNCTION("""COMPUTED_VALUE"""),"Player")</f>
        <v>Player</v>
      </c>
      <c r="F153" s="8" t="str">
        <f ca="1">IFERROR(__xludf.DUMMYFUNCTION("""COMPUTED_VALUE"""),"De Jong, Jan-Willem")</f>
        <v>De Jong, Jan-Willem</v>
      </c>
      <c r="G153" s="16" t="str">
        <f ca="1">IFERROR(__xludf.DUMMYFUNCTION("""COMPUTED_VALUE"""),"NED")</f>
        <v>NED</v>
      </c>
      <c r="H153" s="8"/>
      <c r="I153" s="8">
        <f ca="1">IFERROR(__xludf.DUMMYFUNCTION("""COMPUTED_VALUE"""),100)</f>
        <v>100</v>
      </c>
      <c r="J153" s="8"/>
      <c r="K153" s="8"/>
      <c r="L153" s="8" t="str">
        <f ca="1">IFERROR(__xludf.DUMMYFUNCTION("""COMPUTED_VALUE"""),"LSG")</f>
        <v>LSG</v>
      </c>
      <c r="M153" s="16" t="str">
        <f ca="1">IFERROR(__xludf.DUMMYFUNCTION("""COMPUTED_VALUE"""),"NED")</f>
        <v>NED</v>
      </c>
      <c r="N153" s="16" t="str">
        <f ca="1">IFERROR(__xludf.DUMMYFUNCTION("""COMPUTED_VALUE"""),"Tonanti")</f>
        <v>Tonanti</v>
      </c>
      <c r="O153" s="8"/>
      <c r="P153" s="8">
        <f ca="1">IFERROR(__xludf.DUMMYFUNCTION("""COMPUTED_VALUE"""),108)</f>
        <v>108</v>
      </c>
      <c r="Q153" s="8">
        <f ca="1">IFERROR(__xludf.DUMMYFUNCTION("""COMPUTED_VALUE"""),8)</f>
        <v>8</v>
      </c>
      <c r="R153" s="8">
        <f ca="1">IFERROR(__xludf.DUMMYFUNCTION("""COMPUTED_VALUE"""),864)</f>
        <v>864</v>
      </c>
      <c r="S153" s="8">
        <f ca="1">IFERROR(__xludf.DUMMYFUNCTION("""COMPUTED_VALUE"""),12.8)</f>
        <v>12.8</v>
      </c>
      <c r="T153" s="8">
        <f ca="1">IFERROR(__xludf.DUMMYFUNCTION("""COMPUTED_VALUE"""),876.8)</f>
        <v>876.8</v>
      </c>
      <c r="U153" s="8">
        <f ca="1">IFERROR(__xludf.DUMMYFUNCTION("""COMPUTED_VALUE"""),864)</f>
        <v>864</v>
      </c>
      <c r="V153" s="8" t="str">
        <f ca="1">IFERROR(__xludf.DUMMYFUNCTION("""COMPUTED_VALUE"""),"29/07/2024")</f>
        <v>29/07/2024</v>
      </c>
      <c r="W153" s="8" t="str">
        <f ca="1">IFERROR(__xludf.DUMMYFUNCTION("""COMPUTED_VALUE"""),"YES")</f>
        <v>YES</v>
      </c>
      <c r="X153" s="8" t="str">
        <f ca="1">IFERROR(__xludf.DUMMYFUNCTION("""COMPUTED_VALUE"""),"Nije plaćena BT")</f>
        <v>Nije plaćena BT</v>
      </c>
      <c r="Y153" s="8"/>
      <c r="Z153" s="37" t="str">
        <f ca="1">IFERROR(__xludf.DUMMYFUNCTION("""COMPUTED_VALUE"""),"KL1984 BEG-AMS")</f>
        <v>KL1984 BEG-AMS</v>
      </c>
      <c r="AA153" s="37" t="str">
        <f ca="1">IFERROR(__xludf.DUMMYFUNCTION("""COMPUTED_VALUE"""),"27/10/2024")</f>
        <v>27/10/2024</v>
      </c>
      <c r="AB153" s="59">
        <f ca="1">IFERROR(__xludf.DUMMYFUNCTION("""COMPUTED_VALUE"""),0.524305555555555)</f>
        <v>0.52430555555555503</v>
      </c>
    </row>
    <row r="154" spans="1:28" ht="14.55" customHeight="1" x14ac:dyDescent="0.3">
      <c r="A154" s="8">
        <v>27</v>
      </c>
      <c r="B154" s="8"/>
      <c r="C154" s="8"/>
      <c r="D154" s="8" t="str">
        <f ca="1">IFERROR(__xludf.DUMMYFUNCTION("""COMPUTED_VALUE"""),"25/07/2024")</f>
        <v>25/07/2024</v>
      </c>
      <c r="E154" s="16" t="str">
        <f ca="1">IFERROR(__xludf.DUMMYFUNCTION("""COMPUTED_VALUE"""),"Player")</f>
        <v>Player</v>
      </c>
      <c r="F154" s="8" t="str">
        <f ca="1">IFERROR(__xludf.DUMMYFUNCTION("""COMPUTED_VALUE"""),"Bosman, Michiel")</f>
        <v>Bosman, Michiel</v>
      </c>
      <c r="G154" s="16" t="str">
        <f ca="1">IFERROR(__xludf.DUMMYFUNCTION("""COMPUTED_VALUE"""),"NED")</f>
        <v>NED</v>
      </c>
      <c r="H154" s="8"/>
      <c r="I154" s="8">
        <f ca="1">IFERROR(__xludf.DUMMYFUNCTION("""COMPUTED_VALUE"""),100)</f>
        <v>100</v>
      </c>
      <c r="J154" s="8"/>
      <c r="K154" s="8"/>
      <c r="L154" s="8" t="str">
        <f ca="1">IFERROR(__xludf.DUMMYFUNCTION("""COMPUTED_VALUE"""),"LSG")</f>
        <v>LSG</v>
      </c>
      <c r="M154" s="16" t="str">
        <f ca="1">IFERROR(__xludf.DUMMYFUNCTION("""COMPUTED_VALUE"""),"NED")</f>
        <v>NED</v>
      </c>
      <c r="N154" s="16" t="str">
        <f ca="1">IFERROR(__xludf.DUMMYFUNCTION("""COMPUTED_VALUE"""),"Tonanti")</f>
        <v>Tonanti</v>
      </c>
      <c r="O154" s="8"/>
      <c r="P154" s="8">
        <f ca="1">IFERROR(__xludf.DUMMYFUNCTION("""COMPUTED_VALUE"""),108)</f>
        <v>108</v>
      </c>
      <c r="Q154" s="8">
        <f ca="1">IFERROR(__xludf.DUMMYFUNCTION("""COMPUTED_VALUE"""),8)</f>
        <v>8</v>
      </c>
      <c r="R154" s="8">
        <f ca="1">IFERROR(__xludf.DUMMYFUNCTION("""COMPUTED_VALUE"""),864)</f>
        <v>864</v>
      </c>
      <c r="S154" s="8">
        <f ca="1">IFERROR(__xludf.DUMMYFUNCTION("""COMPUTED_VALUE"""),12.8)</f>
        <v>12.8</v>
      </c>
      <c r="T154" s="8">
        <f ca="1">IFERROR(__xludf.DUMMYFUNCTION("""COMPUTED_VALUE"""),876.8)</f>
        <v>876.8</v>
      </c>
      <c r="U154" s="8">
        <f ca="1">IFERROR(__xludf.DUMMYFUNCTION("""COMPUTED_VALUE"""),864)</f>
        <v>864</v>
      </c>
      <c r="V154" s="8" t="str">
        <f ca="1">IFERROR(__xludf.DUMMYFUNCTION("""COMPUTED_VALUE"""),"29/07/2024")</f>
        <v>29/07/2024</v>
      </c>
      <c r="W154" s="8" t="str">
        <f ca="1">IFERROR(__xludf.DUMMYFUNCTION("""COMPUTED_VALUE"""),"YES")</f>
        <v>YES</v>
      </c>
      <c r="X154" s="8" t="str">
        <f ca="1">IFERROR(__xludf.DUMMYFUNCTION("""COMPUTED_VALUE"""),"Nije plaćena Bt")</f>
        <v>Nije plaćena Bt</v>
      </c>
      <c r="Y154" s="8"/>
      <c r="Z154" s="37" t="str">
        <f ca="1">IFERROR(__xludf.DUMMYFUNCTION("""COMPUTED_VALUE"""),"KL1984 BEG-AMS")</f>
        <v>KL1984 BEG-AMS</v>
      </c>
      <c r="AA154" s="37" t="str">
        <f ca="1">IFERROR(__xludf.DUMMYFUNCTION("""COMPUTED_VALUE"""),"27/10/2024")</f>
        <v>27/10/2024</v>
      </c>
      <c r="AB154" s="59">
        <f ca="1">IFERROR(__xludf.DUMMYFUNCTION("""COMPUTED_VALUE"""),0.524305555555555)</f>
        <v>0.52430555555555503</v>
      </c>
    </row>
    <row r="155" spans="1:28" ht="14.55" customHeight="1" x14ac:dyDescent="0.3">
      <c r="A155" s="8">
        <v>28</v>
      </c>
      <c r="B155" s="8"/>
      <c r="C155" s="8"/>
      <c r="D155" s="8" t="str">
        <f ca="1">IFERROR(__xludf.DUMMYFUNCTION("""COMPUTED_VALUE"""),"25/07/2024")</f>
        <v>25/07/2024</v>
      </c>
      <c r="E155" s="16" t="str">
        <f ca="1">IFERROR(__xludf.DUMMYFUNCTION("""COMPUTED_VALUE"""),"Player")</f>
        <v>Player</v>
      </c>
      <c r="F155" s="8" t="str">
        <f ca="1">IFERROR(__xludf.DUMMYFUNCTION("""COMPUTED_VALUE"""),"Vogt, Andreas, Prof. Dr.")</f>
        <v>Vogt, Andreas, Prof. Dr.</v>
      </c>
      <c r="G155" s="16" t="str">
        <f ca="1">IFERROR(__xludf.DUMMYFUNCTION("""COMPUTED_VALUE"""),"GER")</f>
        <v>GER</v>
      </c>
      <c r="H155" s="8"/>
      <c r="I155" s="8">
        <f ca="1">IFERROR(__xludf.DUMMYFUNCTION("""COMPUTED_VALUE"""),100)</f>
        <v>100</v>
      </c>
      <c r="J155" s="8"/>
      <c r="K155" s="8"/>
      <c r="L155" s="8" t="str">
        <f ca="1">IFERROR(__xludf.DUMMYFUNCTION("""COMPUTED_VALUE"""),"LSG")</f>
        <v>LSG</v>
      </c>
      <c r="M155" s="16" t="str">
        <f ca="1">IFERROR(__xludf.DUMMYFUNCTION("""COMPUTED_VALUE"""),"NED")</f>
        <v>NED</v>
      </c>
      <c r="N155" s="16" t="str">
        <f ca="1">IFERROR(__xludf.DUMMYFUNCTION("""COMPUTED_VALUE"""),"Tonanti")</f>
        <v>Tonanti</v>
      </c>
      <c r="O155" s="8"/>
      <c r="P155" s="8">
        <f ca="1">IFERROR(__xludf.DUMMYFUNCTION("""COMPUTED_VALUE"""),108)</f>
        <v>108</v>
      </c>
      <c r="Q155" s="8">
        <f ca="1">IFERROR(__xludf.DUMMYFUNCTION("""COMPUTED_VALUE"""),8)</f>
        <v>8</v>
      </c>
      <c r="R155" s="8">
        <f ca="1">IFERROR(__xludf.DUMMYFUNCTION("""COMPUTED_VALUE"""),864)</f>
        <v>864</v>
      </c>
      <c r="S155" s="8">
        <f ca="1">IFERROR(__xludf.DUMMYFUNCTION("""COMPUTED_VALUE"""),12.8)</f>
        <v>12.8</v>
      </c>
      <c r="T155" s="8">
        <f ca="1">IFERROR(__xludf.DUMMYFUNCTION("""COMPUTED_VALUE"""),876.8)</f>
        <v>876.8</v>
      </c>
      <c r="U155" s="8">
        <f ca="1">IFERROR(__xludf.DUMMYFUNCTION("""COMPUTED_VALUE"""),864)</f>
        <v>864</v>
      </c>
      <c r="V155" s="8" t="str">
        <f ca="1">IFERROR(__xludf.DUMMYFUNCTION("""COMPUTED_VALUE"""),"29/07/2024")</f>
        <v>29/07/2024</v>
      </c>
      <c r="W155" s="8" t="str">
        <f ca="1">IFERROR(__xludf.DUMMYFUNCTION("""COMPUTED_VALUE"""),"YES")</f>
        <v>YES</v>
      </c>
      <c r="X155" s="8" t="str">
        <f ca="1">IFERROR(__xludf.DUMMYFUNCTION("""COMPUTED_VALUE"""),"Nije plaćena BT")</f>
        <v>Nije plaćena BT</v>
      </c>
      <c r="Y155" s="8"/>
      <c r="Z155" s="37" t="str">
        <f ca="1">IFERROR(__xludf.DUMMYFUNCTION("""COMPUTED_VALUE"""),"KL1984 BEG-AMS")</f>
        <v>KL1984 BEG-AMS</v>
      </c>
      <c r="AA155" s="37" t="str">
        <f ca="1">IFERROR(__xludf.DUMMYFUNCTION("""COMPUTED_VALUE"""),"27/10/2024")</f>
        <v>27/10/2024</v>
      </c>
      <c r="AB155" s="59">
        <f ca="1">IFERROR(__xludf.DUMMYFUNCTION("""COMPUTED_VALUE"""),0.524305555555555)</f>
        <v>0.52430555555555503</v>
      </c>
    </row>
    <row r="156" spans="1:28" ht="14.55" customHeight="1" x14ac:dyDescent="0.3">
      <c r="A156" s="8">
        <v>29</v>
      </c>
      <c r="B156" s="8"/>
      <c r="C156" s="8"/>
      <c r="D156" s="8" t="str">
        <f ca="1">IFERROR(__xludf.DUMMYFUNCTION("""COMPUTED_VALUE"""),"25/07/2024")</f>
        <v>25/07/2024</v>
      </c>
      <c r="E156" s="16" t="str">
        <f ca="1">IFERROR(__xludf.DUMMYFUNCTION("""COMPUTED_VALUE"""),"Player")</f>
        <v>Player</v>
      </c>
      <c r="F156" s="8" t="str">
        <f ca="1">IFERROR(__xludf.DUMMYFUNCTION("""COMPUTED_VALUE"""),"Wiersma, Eelke")</f>
        <v>Wiersma, Eelke</v>
      </c>
      <c r="G156" s="16" t="str">
        <f ca="1">IFERROR(__xludf.DUMMYFUNCTION("""COMPUTED_VALUE"""),"NED")</f>
        <v>NED</v>
      </c>
      <c r="H156" s="8"/>
      <c r="I156" s="8">
        <f ca="1">IFERROR(__xludf.DUMMYFUNCTION("""COMPUTED_VALUE"""),100)</f>
        <v>100</v>
      </c>
      <c r="J156" s="8"/>
      <c r="K156" s="8"/>
      <c r="L156" s="8" t="str">
        <f ca="1">IFERROR(__xludf.DUMMYFUNCTION("""COMPUTED_VALUE"""),"LSG")</f>
        <v>LSG</v>
      </c>
      <c r="M156" s="16" t="str">
        <f ca="1">IFERROR(__xludf.DUMMYFUNCTION("""COMPUTED_VALUE"""),"NED")</f>
        <v>NED</v>
      </c>
      <c r="N156" s="16" t="str">
        <f ca="1">IFERROR(__xludf.DUMMYFUNCTION("""COMPUTED_VALUE"""),"Tonanti")</f>
        <v>Tonanti</v>
      </c>
      <c r="O156" s="8"/>
      <c r="P156" s="8">
        <f ca="1">IFERROR(__xludf.DUMMYFUNCTION("""COMPUTED_VALUE"""),108)</f>
        <v>108</v>
      </c>
      <c r="Q156" s="8">
        <f ca="1">IFERROR(__xludf.DUMMYFUNCTION("""COMPUTED_VALUE"""),8)</f>
        <v>8</v>
      </c>
      <c r="R156" s="8">
        <f ca="1">IFERROR(__xludf.DUMMYFUNCTION("""COMPUTED_VALUE"""),864)</f>
        <v>864</v>
      </c>
      <c r="S156" s="8">
        <f ca="1">IFERROR(__xludf.DUMMYFUNCTION("""COMPUTED_VALUE"""),12.8)</f>
        <v>12.8</v>
      </c>
      <c r="T156" s="8">
        <f ca="1">IFERROR(__xludf.DUMMYFUNCTION("""COMPUTED_VALUE"""),876.8)</f>
        <v>876.8</v>
      </c>
      <c r="U156" s="8">
        <f ca="1">IFERROR(__xludf.DUMMYFUNCTION("""COMPUTED_VALUE"""),864)</f>
        <v>864</v>
      </c>
      <c r="V156" s="8" t="str">
        <f ca="1">IFERROR(__xludf.DUMMYFUNCTION("""COMPUTED_VALUE"""),"29/07/2024")</f>
        <v>29/07/2024</v>
      </c>
      <c r="W156" s="8" t="str">
        <f ca="1">IFERROR(__xludf.DUMMYFUNCTION("""COMPUTED_VALUE"""),"YES")</f>
        <v>YES</v>
      </c>
      <c r="X156" s="8" t="str">
        <f ca="1">IFERROR(__xludf.DUMMYFUNCTION("""COMPUTED_VALUE"""),"Nije plaćena BT")</f>
        <v>Nije plaćena BT</v>
      </c>
      <c r="Y156" s="8"/>
      <c r="Z156" s="37" t="str">
        <f ca="1">IFERROR(__xludf.DUMMYFUNCTION("""COMPUTED_VALUE"""),"KL1984 BEG-AMS")</f>
        <v>KL1984 BEG-AMS</v>
      </c>
      <c r="AA156" s="37" t="str">
        <f ca="1">IFERROR(__xludf.DUMMYFUNCTION("""COMPUTED_VALUE"""),"27/10/2024")</f>
        <v>27/10/2024</v>
      </c>
      <c r="AB156" s="59">
        <f ca="1">IFERROR(__xludf.DUMMYFUNCTION("""COMPUTED_VALUE"""),0.524305555555555)</f>
        <v>0.52430555555555503</v>
      </c>
    </row>
    <row r="157" spans="1:28" ht="14.55" customHeight="1" x14ac:dyDescent="0.3">
      <c r="A157" s="8">
        <v>30</v>
      </c>
      <c r="B157" s="8"/>
      <c r="C157" s="8"/>
      <c r="D157" s="8" t="str">
        <f ca="1">IFERROR(__xludf.DUMMYFUNCTION("""COMPUTED_VALUE"""),"25/07/2024")</f>
        <v>25/07/2024</v>
      </c>
      <c r="E157" s="16" t="str">
        <f ca="1">IFERROR(__xludf.DUMMYFUNCTION("""COMPUTED_VALUE"""),"Player")</f>
        <v>Player</v>
      </c>
      <c r="F157" s="8" t="str">
        <f ca="1">IFERROR(__xludf.DUMMYFUNCTION("""COMPUTED_VALUE"""),"Hofman, Marnix")</f>
        <v>Hofman, Marnix</v>
      </c>
      <c r="G157" s="16" t="str">
        <f ca="1">IFERROR(__xludf.DUMMYFUNCTION("""COMPUTED_VALUE"""),"NED")</f>
        <v>NED</v>
      </c>
      <c r="H157" s="8"/>
      <c r="I157" s="8">
        <f ca="1">IFERROR(__xludf.DUMMYFUNCTION("""COMPUTED_VALUE"""),100)</f>
        <v>100</v>
      </c>
      <c r="J157" s="8"/>
      <c r="K157" s="8"/>
      <c r="L157" s="8" t="str">
        <f ca="1">IFERROR(__xludf.DUMMYFUNCTION("""COMPUTED_VALUE"""),"LSG")</f>
        <v>LSG</v>
      </c>
      <c r="M157" s="16" t="str">
        <f ca="1">IFERROR(__xludf.DUMMYFUNCTION("""COMPUTED_VALUE"""),"NED")</f>
        <v>NED</v>
      </c>
      <c r="N157" s="16" t="str">
        <f ca="1">IFERROR(__xludf.DUMMYFUNCTION("""COMPUTED_VALUE"""),"Tonanti")</f>
        <v>Tonanti</v>
      </c>
      <c r="O157" s="8"/>
      <c r="P157" s="8">
        <f ca="1">IFERROR(__xludf.DUMMYFUNCTION("""COMPUTED_VALUE"""),108)</f>
        <v>108</v>
      </c>
      <c r="Q157" s="8">
        <f ca="1">IFERROR(__xludf.DUMMYFUNCTION("""COMPUTED_VALUE"""),8)</f>
        <v>8</v>
      </c>
      <c r="R157" s="8">
        <f ca="1">IFERROR(__xludf.DUMMYFUNCTION("""COMPUTED_VALUE"""),864)</f>
        <v>864</v>
      </c>
      <c r="S157" s="8">
        <f ca="1">IFERROR(__xludf.DUMMYFUNCTION("""COMPUTED_VALUE"""),12.8)</f>
        <v>12.8</v>
      </c>
      <c r="T157" s="8">
        <f ca="1">IFERROR(__xludf.DUMMYFUNCTION("""COMPUTED_VALUE"""),876.8)</f>
        <v>876.8</v>
      </c>
      <c r="U157" s="8">
        <f ca="1">IFERROR(__xludf.DUMMYFUNCTION("""COMPUTED_VALUE"""),864)</f>
        <v>864</v>
      </c>
      <c r="V157" s="8" t="str">
        <f ca="1">IFERROR(__xludf.DUMMYFUNCTION("""COMPUTED_VALUE"""),"29/07/2024")</f>
        <v>29/07/2024</v>
      </c>
      <c r="W157" s="8" t="str">
        <f ca="1">IFERROR(__xludf.DUMMYFUNCTION("""COMPUTED_VALUE"""),"YES")</f>
        <v>YES</v>
      </c>
      <c r="X157" s="8" t="str">
        <f ca="1">IFERROR(__xludf.DUMMYFUNCTION("""COMPUTED_VALUE"""),"Nije plaćena BT")</f>
        <v>Nije plaćena BT</v>
      </c>
      <c r="Y157" s="8"/>
      <c r="Z157" s="37" t="str">
        <f ca="1">IFERROR(__xludf.DUMMYFUNCTION("""COMPUTED_VALUE"""),"KL1984 BEG-AMS")</f>
        <v>KL1984 BEG-AMS</v>
      </c>
      <c r="AA157" s="37" t="str">
        <f ca="1">IFERROR(__xludf.DUMMYFUNCTION("""COMPUTED_VALUE"""),"27/10/2024")</f>
        <v>27/10/2024</v>
      </c>
      <c r="AB157" s="59">
        <f ca="1">IFERROR(__xludf.DUMMYFUNCTION("""COMPUTED_VALUE"""),0.524305555555555)</f>
        <v>0.52430555555555503</v>
      </c>
    </row>
    <row r="158" spans="1:28" ht="14.55" customHeight="1" x14ac:dyDescent="0.3">
      <c r="A158" s="8">
        <v>31</v>
      </c>
      <c r="B158" s="8"/>
      <c r="C158" s="8"/>
      <c r="D158" s="8" t="str">
        <f ca="1">IFERROR(__xludf.DUMMYFUNCTION("""COMPUTED_VALUE"""),"24/07/2024")</f>
        <v>24/07/2024</v>
      </c>
      <c r="E158" s="16" t="str">
        <f ca="1">IFERROR(__xludf.DUMMYFUNCTION("""COMPUTED_VALUE"""),"Player")</f>
        <v>Player</v>
      </c>
      <c r="F158" s="8" t="str">
        <f ca="1">IFERROR(__xludf.DUMMYFUNCTION("""COMPUTED_VALUE"""),"Cornelisse, John")</f>
        <v>Cornelisse, John</v>
      </c>
      <c r="G158" s="16" t="str">
        <f ca="1">IFERROR(__xludf.DUMMYFUNCTION("""COMPUTED_VALUE"""),"NED")</f>
        <v>NED</v>
      </c>
      <c r="H158" s="8"/>
      <c r="I158" s="8">
        <f ca="1">IFERROR(__xludf.DUMMYFUNCTION("""COMPUTED_VALUE"""),100)</f>
        <v>100</v>
      </c>
      <c r="J158" s="8"/>
      <c r="K158" s="8"/>
      <c r="L158" s="8" t="str">
        <f ca="1">IFERROR(__xludf.DUMMYFUNCTION("""COMPUTED_VALUE"""),"Paul Keres 2")</f>
        <v>Paul Keres 2</v>
      </c>
      <c r="M158" s="16" t="str">
        <f ca="1">IFERROR(__xludf.DUMMYFUNCTION("""COMPUTED_VALUE"""),"NED")</f>
        <v>NED</v>
      </c>
      <c r="N158" s="16" t="str">
        <f ca="1">IFERROR(__xludf.DUMMYFUNCTION("""COMPUTED_VALUE"""),"Fontana")</f>
        <v>Fontana</v>
      </c>
      <c r="O158" s="8"/>
      <c r="P158" s="8">
        <f ca="1">IFERROR(__xludf.DUMMYFUNCTION("""COMPUTED_VALUE"""),104)</f>
        <v>104</v>
      </c>
      <c r="Q158" s="8">
        <f ca="1">IFERROR(__xludf.DUMMYFUNCTION("""COMPUTED_VALUE"""),9)</f>
        <v>9</v>
      </c>
      <c r="R158" s="8">
        <f ca="1">IFERROR(__xludf.DUMMYFUNCTION("""COMPUTED_VALUE"""),936)</f>
        <v>936</v>
      </c>
      <c r="S158" s="8">
        <f ca="1">IFERROR(__xludf.DUMMYFUNCTION("""COMPUTED_VALUE"""),14.4)</f>
        <v>14.4</v>
      </c>
      <c r="T158" s="8">
        <f ca="1">IFERROR(__xludf.DUMMYFUNCTION("""COMPUTED_VALUE"""),950.4)</f>
        <v>950.4</v>
      </c>
      <c r="U158" s="8"/>
      <c r="V158" s="8"/>
      <c r="W158" s="8"/>
      <c r="X158" s="8"/>
      <c r="Y158" s="8"/>
      <c r="Z158" s="37" t="str">
        <f ca="1">IFERROR(__xludf.DUMMYFUNCTION("""COMPUTED_VALUE"""),"KL1984")</f>
        <v>KL1984</v>
      </c>
      <c r="AA158" s="37" t="str">
        <f ca="1">IFERROR(__xludf.DUMMYFUNCTION("""COMPUTED_VALUE"""),"27/10/2024")</f>
        <v>27/10/2024</v>
      </c>
      <c r="AB158" s="59">
        <f ca="1">IFERROR(__xludf.DUMMYFUNCTION("""COMPUTED_VALUE"""),0.524305555555555)</f>
        <v>0.52430555555555503</v>
      </c>
    </row>
    <row r="159" spans="1:28" ht="14.55" customHeight="1" x14ac:dyDescent="0.3">
      <c r="A159" s="8">
        <v>32</v>
      </c>
      <c r="B159" s="8"/>
      <c r="C159" s="8"/>
      <c r="D159" s="8" t="str">
        <f ca="1">IFERROR(__xludf.DUMMYFUNCTION("""COMPUTED_VALUE"""),"24/07/2024")</f>
        <v>24/07/2024</v>
      </c>
      <c r="E159" s="16" t="str">
        <f ca="1">IFERROR(__xludf.DUMMYFUNCTION("""COMPUTED_VALUE"""),"Player")</f>
        <v>Player</v>
      </c>
      <c r="F159" s="8" t="str">
        <f ca="1">IFERROR(__xludf.DUMMYFUNCTION("""COMPUTED_VALUE"""),"Van Houwelingen, Leo")</f>
        <v>Van Houwelingen, Leo</v>
      </c>
      <c r="G159" s="16" t="str">
        <f ca="1">IFERROR(__xludf.DUMMYFUNCTION("""COMPUTED_VALUE"""),"NED")</f>
        <v>NED</v>
      </c>
      <c r="H159" s="8"/>
      <c r="I159" s="8">
        <f ca="1">IFERROR(__xludf.DUMMYFUNCTION("""COMPUTED_VALUE"""),100)</f>
        <v>100</v>
      </c>
      <c r="J159" s="8"/>
      <c r="K159" s="8"/>
      <c r="L159" s="8" t="str">
        <f ca="1">IFERROR(__xludf.DUMMYFUNCTION("""COMPUTED_VALUE"""),"Paul Keres 2")</f>
        <v>Paul Keres 2</v>
      </c>
      <c r="M159" s="16" t="str">
        <f ca="1">IFERROR(__xludf.DUMMYFUNCTION("""COMPUTED_VALUE"""),"NED")</f>
        <v>NED</v>
      </c>
      <c r="N159" s="16" t="str">
        <f ca="1">IFERROR(__xludf.DUMMYFUNCTION("""COMPUTED_VALUE"""),"Fontana")</f>
        <v>Fontana</v>
      </c>
      <c r="O159" s="8"/>
      <c r="P159" s="8">
        <f ca="1">IFERROR(__xludf.DUMMYFUNCTION("""COMPUTED_VALUE"""),104)</f>
        <v>104</v>
      </c>
      <c r="Q159" s="8">
        <f ca="1">IFERROR(__xludf.DUMMYFUNCTION("""COMPUTED_VALUE"""),8)</f>
        <v>8</v>
      </c>
      <c r="R159" s="8">
        <f ca="1">IFERROR(__xludf.DUMMYFUNCTION("""COMPUTED_VALUE"""),832)</f>
        <v>832</v>
      </c>
      <c r="S159" s="8">
        <f ca="1">IFERROR(__xludf.DUMMYFUNCTION("""COMPUTED_VALUE"""),12.8)</f>
        <v>12.8</v>
      </c>
      <c r="T159" s="8">
        <f ca="1">IFERROR(__xludf.DUMMYFUNCTION("""COMPUTED_VALUE"""),844.8)</f>
        <v>844.8</v>
      </c>
      <c r="U159" s="8"/>
      <c r="V159" s="8"/>
      <c r="W159" s="8"/>
      <c r="X159" s="8"/>
      <c r="Y159" s="8"/>
      <c r="Z159" s="37" t="str">
        <f ca="1">IFERROR(__xludf.DUMMYFUNCTION("""COMPUTED_VALUE"""),"KL1984")</f>
        <v>KL1984</v>
      </c>
      <c r="AA159" s="37" t="str">
        <f ca="1">IFERROR(__xludf.DUMMYFUNCTION("""COMPUTED_VALUE"""),"27/10/2024")</f>
        <v>27/10/2024</v>
      </c>
      <c r="AB159" s="59">
        <f ca="1">IFERROR(__xludf.DUMMYFUNCTION("""COMPUTED_VALUE"""),0.524305555555555)</f>
        <v>0.52430555555555503</v>
      </c>
    </row>
    <row r="160" spans="1:28" ht="14.55" customHeight="1" x14ac:dyDescent="0.3">
      <c r="A160" s="8">
        <v>33</v>
      </c>
      <c r="B160" s="8"/>
      <c r="C160" s="8"/>
      <c r="D160" s="13">
        <f ca="1">IFERROR(__xludf.DUMMYFUNCTION("""COMPUTED_VALUE"""),45634)</f>
        <v>45634</v>
      </c>
      <c r="E160" s="16" t="str">
        <f ca="1">IFERROR(__xludf.DUMMYFUNCTION("""COMPUTED_VALUE"""),"Player")</f>
        <v>Player</v>
      </c>
      <c r="F160" s="8" t="str">
        <f ca="1">IFERROR(__xludf.DUMMYFUNCTION("""COMPUTED_VALUE"""),"Velker, Wim")</f>
        <v>Velker, Wim</v>
      </c>
      <c r="G160" s="16" t="str">
        <f ca="1">IFERROR(__xludf.DUMMYFUNCTION("""COMPUTED_VALUE"""),"NED")</f>
        <v>NED</v>
      </c>
      <c r="H160" s="8"/>
      <c r="I160" s="8">
        <f ca="1">IFERROR(__xludf.DUMMYFUNCTION("""COMPUTED_VALUE"""),100)</f>
        <v>100</v>
      </c>
      <c r="J160" s="8"/>
      <c r="K160" s="8"/>
      <c r="L160" s="8" t="str">
        <f ca="1">IFERROR(__xludf.DUMMYFUNCTION("""COMPUTED_VALUE"""),"Paul Keres 2")</f>
        <v>Paul Keres 2</v>
      </c>
      <c r="M160" s="16" t="str">
        <f ca="1">IFERROR(__xludf.DUMMYFUNCTION("""COMPUTED_VALUE"""),"NED")</f>
        <v>NED</v>
      </c>
      <c r="N160" s="16" t="str">
        <f ca="1">IFERROR(__xludf.DUMMYFUNCTION("""COMPUTED_VALUE"""),"Fontana")</f>
        <v>Fontana</v>
      </c>
      <c r="O160" s="8"/>
      <c r="P160" s="8">
        <f ca="1">IFERROR(__xludf.DUMMYFUNCTION("""COMPUTED_VALUE"""),104)</f>
        <v>104</v>
      </c>
      <c r="Q160" s="8">
        <f ca="1">IFERROR(__xludf.DUMMYFUNCTION("""COMPUTED_VALUE"""),8)</f>
        <v>8</v>
      </c>
      <c r="R160" s="8">
        <f ca="1">IFERROR(__xludf.DUMMYFUNCTION("""COMPUTED_VALUE"""),832)</f>
        <v>832</v>
      </c>
      <c r="S160" s="8">
        <f ca="1">IFERROR(__xludf.DUMMYFUNCTION("""COMPUTED_VALUE"""),12.8)</f>
        <v>12.8</v>
      </c>
      <c r="T160" s="8">
        <f ca="1">IFERROR(__xludf.DUMMYFUNCTION("""COMPUTED_VALUE"""),844.8)</f>
        <v>844.8</v>
      </c>
      <c r="U160" s="8"/>
      <c r="V160" s="8"/>
      <c r="W160" s="8"/>
      <c r="X160" s="8"/>
      <c r="Y160" s="8"/>
      <c r="Z160" s="37" t="str">
        <f ca="1">IFERROR(__xludf.DUMMYFUNCTION("""COMPUTED_VALUE"""),"KL1984")</f>
        <v>KL1984</v>
      </c>
      <c r="AA160" s="37" t="str">
        <f ca="1">IFERROR(__xludf.DUMMYFUNCTION("""COMPUTED_VALUE"""),"27/10/2024")</f>
        <v>27/10/2024</v>
      </c>
      <c r="AB160" s="59">
        <f ca="1">IFERROR(__xludf.DUMMYFUNCTION("""COMPUTED_VALUE"""),0.524305555555555)</f>
        <v>0.52430555555555503</v>
      </c>
    </row>
    <row r="161" spans="1:28" ht="14.55" customHeight="1" x14ac:dyDescent="0.3">
      <c r="A161" s="8">
        <v>34</v>
      </c>
      <c r="B161" s="8"/>
      <c r="C161" s="8"/>
      <c r="D161" s="8" t="str">
        <f ca="1">IFERROR(__xludf.DUMMYFUNCTION("""COMPUTED_VALUE"""),"24/07/2024")</f>
        <v>24/07/2024</v>
      </c>
      <c r="E161" s="16" t="str">
        <f ca="1">IFERROR(__xludf.DUMMYFUNCTION("""COMPUTED_VALUE"""),"Player")</f>
        <v>Player</v>
      </c>
      <c r="F161" s="8" t="str">
        <f ca="1">IFERROR(__xludf.DUMMYFUNCTION("""COMPUTED_VALUE"""),"Bollaart, Jeroen")</f>
        <v>Bollaart, Jeroen</v>
      </c>
      <c r="G161" s="16" t="str">
        <f ca="1">IFERROR(__xludf.DUMMYFUNCTION("""COMPUTED_VALUE"""),"NED")</f>
        <v>NED</v>
      </c>
      <c r="H161" s="8"/>
      <c r="I161" s="8">
        <f ca="1">IFERROR(__xludf.DUMMYFUNCTION("""COMPUTED_VALUE"""),100)</f>
        <v>100</v>
      </c>
      <c r="J161" s="8"/>
      <c r="K161" s="8"/>
      <c r="L161" s="8" t="str">
        <f ca="1">IFERROR(__xludf.DUMMYFUNCTION("""COMPUTED_VALUE"""),"Paul Keres 2")</f>
        <v>Paul Keres 2</v>
      </c>
      <c r="M161" s="16" t="str">
        <f ca="1">IFERROR(__xludf.DUMMYFUNCTION("""COMPUTED_VALUE"""),"NED")</f>
        <v>NED</v>
      </c>
      <c r="N161" s="16" t="str">
        <f ca="1">IFERROR(__xludf.DUMMYFUNCTION("""COMPUTED_VALUE"""),"Fontana")</f>
        <v>Fontana</v>
      </c>
      <c r="O161" s="8"/>
      <c r="P161" s="8">
        <f ca="1">IFERROR(__xludf.DUMMYFUNCTION("""COMPUTED_VALUE"""),104)</f>
        <v>104</v>
      </c>
      <c r="Q161" s="8">
        <f ca="1">IFERROR(__xludf.DUMMYFUNCTION("""COMPUTED_VALUE"""),8)</f>
        <v>8</v>
      </c>
      <c r="R161" s="8">
        <f ca="1">IFERROR(__xludf.DUMMYFUNCTION("""COMPUTED_VALUE"""),832)</f>
        <v>832</v>
      </c>
      <c r="S161" s="8">
        <f ca="1">IFERROR(__xludf.DUMMYFUNCTION("""COMPUTED_VALUE"""),12.8)</f>
        <v>12.8</v>
      </c>
      <c r="T161" s="8">
        <f ca="1">IFERROR(__xludf.DUMMYFUNCTION("""COMPUTED_VALUE"""),844.8)</f>
        <v>844.8</v>
      </c>
      <c r="U161" s="8"/>
      <c r="V161" s="8"/>
      <c r="W161" s="8"/>
      <c r="X161" s="8"/>
      <c r="Y161" s="8"/>
      <c r="Z161" s="37" t="str">
        <f ca="1">IFERROR(__xludf.DUMMYFUNCTION("""COMPUTED_VALUE"""),"KL1984")</f>
        <v>KL1984</v>
      </c>
      <c r="AA161" s="37" t="str">
        <f ca="1">IFERROR(__xludf.DUMMYFUNCTION("""COMPUTED_VALUE"""),"27/10/2024")</f>
        <v>27/10/2024</v>
      </c>
      <c r="AB161" s="59">
        <f ca="1">IFERROR(__xludf.DUMMYFUNCTION("""COMPUTED_VALUE"""),0.524305555555555)</f>
        <v>0.52430555555555503</v>
      </c>
    </row>
    <row r="162" spans="1:28" ht="14.55" customHeight="1" x14ac:dyDescent="0.3">
      <c r="A162" s="8">
        <v>35</v>
      </c>
      <c r="B162" s="8"/>
      <c r="C162" s="8"/>
      <c r="D162" s="8" t="str">
        <f ca="1">IFERROR(__xludf.DUMMYFUNCTION("""COMPUTED_VALUE"""),"15/08/2024")</f>
        <v>15/08/2024</v>
      </c>
      <c r="E162" s="16" t="str">
        <f ca="1">IFERROR(__xludf.DUMMYFUNCTION("""COMPUTED_VALUE"""),"Player")</f>
        <v>Player</v>
      </c>
      <c r="F162" s="8" t="str">
        <f ca="1">IFERROR(__xludf.DUMMYFUNCTION("""COMPUTED_VALUE"""),"Zhu, Nathaniel Adrian Yi-xing")</f>
        <v>Zhu, Nathaniel Adrian Yi-xing</v>
      </c>
      <c r="G162" s="16" t="str">
        <f ca="1">IFERROR(__xludf.DUMMYFUNCTION("""COMPUTED_VALUE"""),"HKG")</f>
        <v>HKG</v>
      </c>
      <c r="H162" s="8"/>
      <c r="I162" s="8">
        <f ca="1">IFERROR(__xludf.DUMMYFUNCTION("""COMPUTED_VALUE"""),100)</f>
        <v>100</v>
      </c>
      <c r="J162" s="8"/>
      <c r="K162" s="8"/>
      <c r="L162" s="8" t="str">
        <f ca="1">IFERROR(__xludf.DUMMYFUNCTION("""COMPUTED_VALUE"""),"White Rose")</f>
        <v>White Rose</v>
      </c>
      <c r="M162" s="16" t="str">
        <f ca="1">IFERROR(__xludf.DUMMYFUNCTION("""COMPUTED_VALUE"""),"ENG")</f>
        <v>ENG</v>
      </c>
      <c r="N162" s="16" t="str">
        <f ca="1">IFERROR(__xludf.DUMMYFUNCTION("""COMPUTED_VALUE"""),"Fontana")</f>
        <v>Fontana</v>
      </c>
      <c r="O162" s="8" t="str">
        <f ca="1">IFERROR(__xludf.DUMMYFUNCTION("""COMPUTED_VALUE"""),"His parent (TBC)")</f>
        <v>His parent (TBC)</v>
      </c>
      <c r="P162" s="8">
        <f ca="1">IFERROR(__xludf.DUMMYFUNCTION("""COMPUTED_VALUE"""),84)</f>
        <v>84</v>
      </c>
      <c r="Q162" s="8">
        <f ca="1">IFERROR(__xludf.DUMMYFUNCTION("""COMPUTED_VALUE"""),8)</f>
        <v>8</v>
      </c>
      <c r="R162" s="8">
        <f ca="1">IFERROR(__xludf.DUMMYFUNCTION("""COMPUTED_VALUE"""),672)</f>
        <v>672</v>
      </c>
      <c r="S162" s="8">
        <f ca="1">IFERROR(__xludf.DUMMYFUNCTION("""COMPUTED_VALUE"""),12.8)</f>
        <v>12.8</v>
      </c>
      <c r="T162" s="8">
        <f ca="1">IFERROR(__xludf.DUMMYFUNCTION("""COMPUTED_VALUE"""),684.8)</f>
        <v>684.8</v>
      </c>
      <c r="U162" s="8"/>
      <c r="V162" s="8"/>
      <c r="W162" s="8"/>
      <c r="X162" s="8"/>
      <c r="Y162" s="8"/>
      <c r="Z162" s="37" t="str">
        <f ca="1">IFERROR(__xludf.DUMMYFUNCTION("""COMPUTED_VALUE"""),"QR0232")</f>
        <v>QR0232</v>
      </c>
      <c r="AA162" s="37" t="str">
        <f ca="1">IFERROR(__xludf.DUMMYFUNCTION("""COMPUTED_VALUE"""),"25/10/2024")</f>
        <v>25/10/2024</v>
      </c>
      <c r="AB162" s="64">
        <f ca="1">IFERROR(__xludf.DUMMYFUNCTION("""COMPUTED_VALUE"""),0.527777777777777)</f>
        <v>0.52777777777777701</v>
      </c>
    </row>
    <row r="163" spans="1:28" ht="14.55" customHeight="1" x14ac:dyDescent="0.3">
      <c r="A163" s="8">
        <v>36</v>
      </c>
      <c r="B163" s="8"/>
      <c r="C163" s="8" t="str">
        <f ca="1">IFERROR(__xludf.DUMMYFUNCTION("""COMPUTED_VALUE"""),"promenjen tim")</f>
        <v>promenjen tim</v>
      </c>
      <c r="D163" s="8" t="str">
        <f ca="1">IFERROR(__xludf.DUMMYFUNCTION("""COMPUTED_VALUE"""),"15/08/2024")</f>
        <v>15/08/2024</v>
      </c>
      <c r="E163" s="16" t="s">
        <v>0</v>
      </c>
      <c r="F163" s="8" t="str">
        <f ca="1">IFERROR(__xludf.DUMMYFUNCTION("""COMPUTED_VALUE"""),"Zhu David")</f>
        <v>Zhu David</v>
      </c>
      <c r="G163" s="16" t="str">
        <f ca="1">IFERROR(__xludf.DUMMYFUNCTION("""COMPUTED_VALUE"""),"HKG")</f>
        <v>HKG</v>
      </c>
      <c r="H163" s="8"/>
      <c r="I163" s="8">
        <f ca="1">IFERROR(__xludf.DUMMYFUNCTION("""COMPUTED_VALUE"""),100)</f>
        <v>100</v>
      </c>
      <c r="J163" s="8"/>
      <c r="K163" s="8"/>
      <c r="L163" s="8" t="str">
        <f ca="1">IFERROR(__xludf.DUMMYFUNCTION("""COMPUTED_VALUE"""),"White Rose")</f>
        <v>White Rose</v>
      </c>
      <c r="M163" s="16" t="str">
        <f ca="1">IFERROR(__xludf.DUMMYFUNCTION("""COMPUTED_VALUE"""),"ENG")</f>
        <v>ENG</v>
      </c>
      <c r="N163" s="16" t="str">
        <f ca="1">IFERROR(__xludf.DUMMYFUNCTION("""COMPUTED_VALUE"""),"Fontana")</f>
        <v>Fontana</v>
      </c>
      <c r="O163" s="8" t="str">
        <f ca="1">IFERROR(__xludf.DUMMYFUNCTION("""COMPUTED_VALUE"""),"Nathaniel Zhu")</f>
        <v>Nathaniel Zhu</v>
      </c>
      <c r="P163" s="8">
        <f ca="1">IFERROR(__xludf.DUMMYFUNCTION("""COMPUTED_VALUE"""),84)</f>
        <v>84</v>
      </c>
      <c r="Q163" s="8">
        <f ca="1">IFERROR(__xludf.DUMMYFUNCTION("""COMPUTED_VALUE"""),8)</f>
        <v>8</v>
      </c>
      <c r="R163" s="8">
        <f ca="1">IFERROR(__xludf.DUMMYFUNCTION("""COMPUTED_VALUE"""),672)</f>
        <v>672</v>
      </c>
      <c r="S163" s="8">
        <f ca="1">IFERROR(__xludf.DUMMYFUNCTION("""COMPUTED_VALUE"""),12.8)</f>
        <v>12.8</v>
      </c>
      <c r="T163" s="8">
        <f ca="1">IFERROR(__xludf.DUMMYFUNCTION("""COMPUTED_VALUE"""),684.8)</f>
        <v>684.8</v>
      </c>
      <c r="U163" s="8"/>
      <c r="V163" s="8"/>
      <c r="W163" s="8"/>
      <c r="X163" s="8"/>
      <c r="Y163" s="8"/>
      <c r="Z163" s="37" t="str">
        <f ca="1">IFERROR(__xludf.DUMMYFUNCTION("""COMPUTED_VALUE"""),"QR0232")</f>
        <v>QR0232</v>
      </c>
      <c r="AA163" s="37" t="str">
        <f ca="1">IFERROR(__xludf.DUMMYFUNCTION("""COMPUTED_VALUE"""),"25/10/2024")</f>
        <v>25/10/2024</v>
      </c>
      <c r="AB163" s="64">
        <f ca="1">IFERROR(__xludf.DUMMYFUNCTION("""COMPUTED_VALUE"""),0.527777777777777)</f>
        <v>0.52777777777777701</v>
      </c>
    </row>
    <row r="164" spans="1:28" ht="14.55" customHeight="1" x14ac:dyDescent="0.3">
      <c r="A164" s="8">
        <v>37</v>
      </c>
      <c r="B164" s="8"/>
      <c r="C164" s="8"/>
      <c r="D164" s="8" t="str">
        <f ca="1">IFERROR(__xludf.DUMMYFUNCTION("""COMPUTED_VALUE"""),"18/08/2024")</f>
        <v>18/08/2024</v>
      </c>
      <c r="E164" s="16" t="str">
        <f ca="1">IFERROR(__xludf.DUMMYFUNCTION("""COMPUTED_VALUE"""),"Player")</f>
        <v>Player</v>
      </c>
      <c r="F164" s="8" t="str">
        <f ca="1">IFERROR(__xludf.DUMMYFUNCTION("""COMPUTED_VALUE"""),"Kanyamarala, Tarun")</f>
        <v>Kanyamarala, Tarun</v>
      </c>
      <c r="G164" s="16" t="str">
        <f ca="1">IFERROR(__xludf.DUMMYFUNCTION("""COMPUTED_VALUE"""),"IRL")</f>
        <v>IRL</v>
      </c>
      <c r="H164" s="8"/>
      <c r="I164" s="8">
        <f ca="1">IFERROR(__xludf.DUMMYFUNCTION("""COMPUTED_VALUE"""),100)</f>
        <v>100</v>
      </c>
      <c r="J164" s="8"/>
      <c r="K164" s="8"/>
      <c r="L164" s="8" t="str">
        <f ca="1">IFERROR(__xludf.DUMMYFUNCTION("""COMPUTED_VALUE"""),"Gonzaga")</f>
        <v>Gonzaga</v>
      </c>
      <c r="M164" s="16" t="str">
        <f ca="1">IFERROR(__xludf.DUMMYFUNCTION("""COMPUTED_VALUE"""),"IRL")</f>
        <v>IRL</v>
      </c>
      <c r="N164" s="16" t="str">
        <f ca="1">IFERROR(__xludf.DUMMYFUNCTION("""COMPUTED_VALUE"""),"Fontana")</f>
        <v>Fontana</v>
      </c>
      <c r="O164" s="8" t="str">
        <f ca="1">IFERROR(__xludf.DUMMYFUNCTION("""COMPUTED_VALUE"""),"Kanyamarala, Tisha")</f>
        <v>Kanyamarala, Tisha</v>
      </c>
      <c r="P164" s="8"/>
      <c r="Q164" s="8">
        <f ca="1">IFERROR(__xludf.DUMMYFUNCTION("""COMPUTED_VALUE"""),8)</f>
        <v>8</v>
      </c>
      <c r="R164" s="8">
        <f ca="1">IFERROR(__xludf.DUMMYFUNCTION("""COMPUTED_VALUE"""),0)</f>
        <v>0</v>
      </c>
      <c r="S164" s="8">
        <f ca="1">IFERROR(__xludf.DUMMYFUNCTION("""COMPUTED_VALUE"""),12.8)</f>
        <v>12.8</v>
      </c>
      <c r="T164" s="8">
        <f ca="1">IFERROR(__xludf.DUMMYFUNCTION("""COMPUTED_VALUE"""),12.8)</f>
        <v>12.8</v>
      </c>
      <c r="U164" s="8"/>
      <c r="V164" s="8"/>
      <c r="W164" s="8"/>
      <c r="X164" s="8"/>
      <c r="Y164" s="8"/>
      <c r="Z164" s="37" t="str">
        <f ca="1">IFERROR(__xludf.DUMMYFUNCTION("""COMPUTED_VALUE"""),"W64045")</f>
        <v>W64045</v>
      </c>
      <c r="AA164" s="37" t="str">
        <f ca="1">IFERROR(__xludf.DUMMYFUNCTION("""COMPUTED_VALUE"""),"27/10/2024")</f>
        <v>27/10/2024</v>
      </c>
      <c r="AB164" s="59">
        <f ca="1">IFERROR(__xludf.DUMMYFUNCTION("""COMPUTED_VALUE"""),0.538194444444444)</f>
        <v>0.53819444444444398</v>
      </c>
    </row>
    <row r="165" spans="1:28" ht="14.55" customHeight="1" x14ac:dyDescent="0.3">
      <c r="A165" s="8">
        <v>38</v>
      </c>
      <c r="B165" s="8"/>
      <c r="C165" s="8"/>
      <c r="D165" s="8" t="str">
        <f ca="1">IFERROR(__xludf.DUMMYFUNCTION("""COMPUTED_VALUE"""),"14/08/2024")</f>
        <v>14/08/2024</v>
      </c>
      <c r="E165" s="16" t="str">
        <f ca="1">IFERROR(__xludf.DUMMYFUNCTION("""COMPUTED_VALUE"""),"Player")</f>
        <v>Player</v>
      </c>
      <c r="F165" s="8" t="str">
        <f ca="1">IFERROR(__xludf.DUMMYFUNCTION("""COMPUTED_VALUE"""),"Kanyamarala, Trisha")</f>
        <v>Kanyamarala, Trisha</v>
      </c>
      <c r="G165" s="8" t="str">
        <f ca="1">IFERROR(__xludf.DUMMYFUNCTION("""COMPUTED_VALUE"""),"IRL")</f>
        <v>IRL</v>
      </c>
      <c r="H165" s="8"/>
      <c r="I165" s="8">
        <f ca="1">IFERROR(__xludf.DUMMYFUNCTION("""COMPUTED_VALUE"""),100)</f>
        <v>100</v>
      </c>
      <c r="J165" s="8"/>
      <c r="K165" s="8"/>
      <c r="L165" s="8" t="s">
        <v>3</v>
      </c>
      <c r="M165" s="8" t="str">
        <f ca="1">IFERROR(__xludf.DUMMYFUNCTION("""COMPUTED_VALUE"""),"ENG")</f>
        <v>ENG</v>
      </c>
      <c r="N165" s="16" t="str">
        <f ca="1">IFERROR(__xludf.DUMMYFUNCTION("""COMPUTED_VALUE"""),"Fontana")</f>
        <v>Fontana</v>
      </c>
      <c r="O165" s="43" t="str">
        <f ca="1">IFERROR(__xludf.DUMMYFUNCTION("""COMPUTED_VALUE"""),"Double")</f>
        <v>Double</v>
      </c>
      <c r="P165" s="8" t="str">
        <f ca="1">IFERROR(__xludf.DUMMYFUNCTION("""COMPUTED_VALUE"""),"Tarun Kanyamarala")</f>
        <v>Tarun Kanyamarala</v>
      </c>
      <c r="Q165" s="8">
        <f ca="1">IFERROR(__xludf.DUMMYFUNCTION("""COMPUTED_VALUE"""),8)</f>
        <v>8</v>
      </c>
      <c r="R165" s="8">
        <f ca="1">IFERROR(__xludf.DUMMYFUNCTION("""COMPUTED_VALUE"""),672)</f>
        <v>672</v>
      </c>
      <c r="S165" s="8">
        <f ca="1">IFERROR(__xludf.DUMMYFUNCTION("""COMPUTED_VALUE"""),12.8)</f>
        <v>12.8</v>
      </c>
      <c r="T165" s="8">
        <f ca="1">IFERROR(__xludf.DUMMYFUNCTION("""COMPUTED_VALUE"""),684.8)</f>
        <v>684.8</v>
      </c>
      <c r="U165" s="8"/>
      <c r="V165" s="8"/>
      <c r="W165" s="8"/>
      <c r="X165" s="8" t="str">
        <f ca="1">IFERROR(__xludf.DUMMYFUNCTION("""COMPUTED_VALUE"""),"Odvojeni kreveti / twin")</f>
        <v>Odvojeni kreveti / twin</v>
      </c>
      <c r="Y165" s="8"/>
      <c r="Z165" s="37" t="str">
        <f ca="1">IFERROR(__xludf.DUMMYFUNCTION("""COMPUTED_VALUE"""),"W64045")</f>
        <v>W64045</v>
      </c>
      <c r="AA165" s="37" t="str">
        <f ca="1">IFERROR(__xludf.DUMMYFUNCTION("""COMPUTED_VALUE"""),"27/10/2024")</f>
        <v>27/10/2024</v>
      </c>
      <c r="AB165" s="64">
        <f ca="1">IFERROR(__xludf.DUMMYFUNCTION("""COMPUTED_VALUE"""),0.538194444444444)</f>
        <v>0.53819444444444398</v>
      </c>
    </row>
    <row r="166" spans="1:28" ht="14.55" customHeight="1" x14ac:dyDescent="0.3">
      <c r="A166" s="8">
        <v>39</v>
      </c>
      <c r="B166" s="8"/>
      <c r="C166" s="8"/>
      <c r="D166" s="8" t="str">
        <f ca="1">IFERROR(__xludf.DUMMYFUNCTION("""COMPUTED_VALUE"""),"14/08/2024")</f>
        <v>14/08/2024</v>
      </c>
      <c r="E166" s="16" t="s">
        <v>0</v>
      </c>
      <c r="F166" s="8" t="str">
        <f ca="1">IFERROR(__xludf.DUMMYFUNCTION("""COMPUTED_VALUE"""),"Kanyamarala, Tarun")</f>
        <v>Kanyamarala, Tarun</v>
      </c>
      <c r="G166" s="8" t="str">
        <f ca="1">IFERROR(__xludf.DUMMYFUNCTION("""COMPUTED_VALUE"""),"IRL")</f>
        <v>IRL</v>
      </c>
      <c r="H166" s="8"/>
      <c r="I166" s="8">
        <f ca="1">IFERROR(__xludf.DUMMYFUNCTION("""COMPUTED_VALUE"""),100)</f>
        <v>100</v>
      </c>
      <c r="J166" s="8"/>
      <c r="K166" s="8"/>
      <c r="L166" s="8" t="s">
        <v>3</v>
      </c>
      <c r="M166" s="8" t="str">
        <f ca="1">IFERROR(__xludf.DUMMYFUNCTION("""COMPUTED_VALUE"""),"ENG")</f>
        <v>ENG</v>
      </c>
      <c r="N166" s="16" t="str">
        <f ca="1">IFERROR(__xludf.DUMMYFUNCTION("""COMPUTED_VALUE"""),"Fontana")</f>
        <v>Fontana</v>
      </c>
      <c r="O166" s="43" t="str">
        <f ca="1">IFERROR(__xludf.DUMMYFUNCTION("""COMPUTED_VALUE"""),"Double")</f>
        <v>Double</v>
      </c>
      <c r="P166" s="8" t="str">
        <f ca="1">IFERROR(__xludf.DUMMYFUNCTION("""COMPUTED_VALUE"""),"Trisha Kanyamarala")</f>
        <v>Trisha Kanyamarala</v>
      </c>
      <c r="Q166" s="8">
        <f ca="1">IFERROR(__xludf.DUMMYFUNCTION("""COMPUTED_VALUE"""),8)</f>
        <v>8</v>
      </c>
      <c r="R166" s="8">
        <f ca="1">IFERROR(__xludf.DUMMYFUNCTION("""COMPUTED_VALUE"""),672)</f>
        <v>672</v>
      </c>
      <c r="S166" s="8">
        <f ca="1">IFERROR(__xludf.DUMMYFUNCTION("""COMPUTED_VALUE"""),12.8)</f>
        <v>12.8</v>
      </c>
      <c r="T166" s="8">
        <f ca="1">IFERROR(__xludf.DUMMYFUNCTION("""COMPUTED_VALUE"""),684.8)</f>
        <v>684.8</v>
      </c>
      <c r="U166" s="8"/>
      <c r="V166" s="8"/>
      <c r="W166" s="8"/>
      <c r="X166" s="8" t="str">
        <f ca="1">IFERROR(__xludf.DUMMYFUNCTION("""COMPUTED_VALUE"""),"Odvojeni kreveti / twin")</f>
        <v>Odvojeni kreveti / twin</v>
      </c>
      <c r="Y166" s="8"/>
      <c r="Z166" s="37" t="str">
        <f ca="1">IFERROR(__xludf.DUMMYFUNCTION("""COMPUTED_VALUE"""),"W64045")</f>
        <v>W64045</v>
      </c>
      <c r="AA166" s="37" t="str">
        <f ca="1">IFERROR(__xludf.DUMMYFUNCTION("""COMPUTED_VALUE"""),"27/10/2024")</f>
        <v>27/10/2024</v>
      </c>
      <c r="AB166" s="64">
        <f ca="1">IFERROR(__xludf.DUMMYFUNCTION("""COMPUTED_VALUE"""),0.538194444444444)</f>
        <v>0.53819444444444398</v>
      </c>
    </row>
    <row r="167" spans="1:28" ht="14.55" customHeight="1" x14ac:dyDescent="0.3">
      <c r="A167" s="8">
        <v>40</v>
      </c>
      <c r="B167" s="8"/>
      <c r="C167" s="8"/>
      <c r="D167" s="8" t="str">
        <f ca="1">IFERROR(__xludf.DUMMYFUNCTION("""COMPUTED_VALUE"""),"15/08/2024")</f>
        <v>15/08/2024</v>
      </c>
      <c r="E167" s="16" t="str">
        <f ca="1">IFERROR(__xludf.DUMMYFUNCTION("""COMPUTED_VALUE"""),"Player")</f>
        <v>Player</v>
      </c>
      <c r="F167" s="8" t="str">
        <f ca="1">IFERROR(__xludf.DUMMYFUNCTION("""COMPUTED_VALUE"""),"Muetsch, Annmarie")</f>
        <v>Muetsch, Annmarie</v>
      </c>
      <c r="G167" s="8" t="str">
        <f ca="1">IFERROR(__xludf.DUMMYFUNCTION("""COMPUTED_VALUE"""),"GER")</f>
        <v>GER</v>
      </c>
      <c r="H167" s="8"/>
      <c r="I167" s="8">
        <f ca="1">IFERROR(__xludf.DUMMYFUNCTION("""COMPUTED_VALUE"""),100)</f>
        <v>100</v>
      </c>
      <c r="J167" s="8"/>
      <c r="K167" s="8"/>
      <c r="L167" s="8" t="s">
        <v>4</v>
      </c>
      <c r="M167" s="8" t="str">
        <f ca="1">IFERROR(__xludf.DUMMYFUNCTION("""COMPUTED_VALUE"""),"GER")</f>
        <v>GER</v>
      </c>
      <c r="N167" s="16" t="str">
        <f ca="1">IFERROR(__xludf.DUMMYFUNCTION("""COMPUTED_VALUE"""),"Zepter")</f>
        <v>Zepter</v>
      </c>
      <c r="O167" s="8" t="str">
        <f ca="1">IFERROR(__xludf.DUMMYFUNCTION("""COMPUTED_VALUE"""),"Double")</f>
        <v>Double</v>
      </c>
      <c r="P167" s="8" t="str">
        <f ca="1">IFERROR(__xludf.DUMMYFUNCTION("""COMPUTED_VALUE"""),"van Foreest")</f>
        <v>van Foreest</v>
      </c>
      <c r="Q167" s="8">
        <f ca="1">IFERROR(__xludf.DUMMYFUNCTION("""COMPUTED_VALUE"""),8)</f>
        <v>8</v>
      </c>
      <c r="R167" s="8">
        <f ca="1">IFERROR(__xludf.DUMMYFUNCTION("""COMPUTED_VALUE"""),656)</f>
        <v>656</v>
      </c>
      <c r="S167" s="8">
        <f ca="1">IFERROR(__xludf.DUMMYFUNCTION("""COMPUTED_VALUE"""),12.8)</f>
        <v>12.8</v>
      </c>
      <c r="T167" s="8">
        <f ca="1">IFERROR(__xludf.DUMMYFUNCTION("""COMPUTED_VALUE"""),668.8)</f>
        <v>668.8</v>
      </c>
      <c r="U167" s="8"/>
      <c r="V167" s="8"/>
      <c r="W167" s="8"/>
      <c r="X167" s="8"/>
      <c r="Y167" s="8"/>
      <c r="Z167" s="37" t="str">
        <f ca="1">IFERROR(__xludf.DUMMYFUNCTION("""COMPUTED_VALUE"""),"W6 4045")</f>
        <v>W6 4045</v>
      </c>
      <c r="AA167" s="37" t="str">
        <f ca="1">IFERROR(__xludf.DUMMYFUNCTION("""COMPUTED_VALUE"""),"27/10/2024")</f>
        <v>27/10/2024</v>
      </c>
      <c r="AB167" s="64">
        <f ca="1">IFERROR(__xludf.DUMMYFUNCTION("""COMPUTED_VALUE"""),0.538194444444444)</f>
        <v>0.53819444444444398</v>
      </c>
    </row>
    <row r="168" spans="1:28" ht="14.55" customHeight="1" x14ac:dyDescent="0.3">
      <c r="A168" s="8">
        <v>41</v>
      </c>
      <c r="B168" s="8"/>
      <c r="C168" s="8"/>
      <c r="D168" s="8" t="str">
        <f ca="1">IFERROR(__xludf.DUMMYFUNCTION("""COMPUTED_VALUE"""),"15/08/2024")</f>
        <v>15/08/2024</v>
      </c>
      <c r="E168" s="16" t="str">
        <f ca="1">IFERROR(__xludf.DUMMYFUNCTION("""COMPUTED_VALUE"""),"Player")</f>
        <v>Player</v>
      </c>
      <c r="F168" s="8" t="str">
        <f ca="1">IFERROR(__xludf.DUMMYFUNCTION("""COMPUTED_VALUE"""),"Burke, Kevin A.")</f>
        <v>Burke, Kevin A.</v>
      </c>
      <c r="G168" s="16" t="str">
        <f ca="1">IFERROR(__xludf.DUMMYFUNCTION("""COMPUTED_VALUE"""),"IRL")</f>
        <v>IRL</v>
      </c>
      <c r="H168" s="8"/>
      <c r="I168" s="8">
        <f ca="1">IFERROR(__xludf.DUMMYFUNCTION("""COMPUTED_VALUE"""),100)</f>
        <v>100</v>
      </c>
      <c r="J168" s="8"/>
      <c r="K168" s="8"/>
      <c r="L168" s="8" t="str">
        <f ca="1">IFERROR(__xludf.DUMMYFUNCTION("""COMPUTED_VALUE"""),"St Benildus")</f>
        <v>St Benildus</v>
      </c>
      <c r="M168" s="16" t="str">
        <f ca="1">IFERROR(__xludf.DUMMYFUNCTION("""COMPUTED_VALUE"""),"IRL")</f>
        <v>IRL</v>
      </c>
      <c r="N168" s="16" t="str">
        <f ca="1">IFERROR(__xludf.DUMMYFUNCTION("""COMPUTED_VALUE"""),"Fontana")</f>
        <v>Fontana</v>
      </c>
      <c r="O168" s="8"/>
      <c r="P168" s="8">
        <f ca="1">IFERROR(__xludf.DUMMYFUNCTION("""COMPUTED_VALUE"""),104)</f>
        <v>104</v>
      </c>
      <c r="Q168" s="8">
        <f ca="1">IFERROR(__xludf.DUMMYFUNCTION("""COMPUTED_VALUE"""),8)</f>
        <v>8</v>
      </c>
      <c r="R168" s="8">
        <f ca="1">IFERROR(__xludf.DUMMYFUNCTION("""COMPUTED_VALUE"""),832)</f>
        <v>832</v>
      </c>
      <c r="S168" s="8">
        <f ca="1">IFERROR(__xludf.DUMMYFUNCTION("""COMPUTED_VALUE"""),12.8)</f>
        <v>12.8</v>
      </c>
      <c r="T168" s="8">
        <f ca="1">IFERROR(__xludf.DUMMYFUNCTION("""COMPUTED_VALUE"""),844.8)</f>
        <v>844.8</v>
      </c>
      <c r="U168" s="8"/>
      <c r="V168" s="8"/>
      <c r="W168" s="8"/>
      <c r="X168" s="8"/>
      <c r="Y168" s="8"/>
      <c r="Z168" s="37" t="str">
        <f ca="1">IFERROR(__xludf.DUMMYFUNCTION("""COMPUTED_VALUE"""),"N/A")</f>
        <v>N/A</v>
      </c>
      <c r="AA168" s="37" t="str">
        <f ca="1">IFERROR(__xludf.DUMMYFUNCTION("""COMPUTED_VALUE"""),"27/10/2024")</f>
        <v>27/10/2024</v>
      </c>
      <c r="AB168" s="59">
        <f ca="1">IFERROR(__xludf.DUMMYFUNCTION("""COMPUTED_VALUE"""),0.538194444444444)</f>
        <v>0.53819444444444398</v>
      </c>
    </row>
    <row r="169" spans="1:28" ht="14.55" customHeight="1" x14ac:dyDescent="0.3">
      <c r="A169" s="8">
        <v>42</v>
      </c>
      <c r="B169" s="8"/>
      <c r="C169" s="8"/>
      <c r="D169" s="8" t="str">
        <f ca="1">IFERROR(__xludf.DUMMYFUNCTION("""COMPUTED_VALUE"""),"15/08/2024")</f>
        <v>15/08/2024</v>
      </c>
      <c r="E169" s="16" t="str">
        <f ca="1">IFERROR(__xludf.DUMMYFUNCTION("""COMPUTED_VALUE"""),"Player")</f>
        <v>Player</v>
      </c>
      <c r="F169" s="8" t="str">
        <f ca="1">IFERROR(__xludf.DUMMYFUNCTION("""COMPUTED_VALUE"""),"Cooney, Brendan")</f>
        <v>Cooney, Brendan</v>
      </c>
      <c r="G169" s="16" t="str">
        <f ca="1">IFERROR(__xludf.DUMMYFUNCTION("""COMPUTED_VALUE"""),"IRL")</f>
        <v>IRL</v>
      </c>
      <c r="H169" s="8"/>
      <c r="I169" s="8">
        <f ca="1">IFERROR(__xludf.DUMMYFUNCTION("""COMPUTED_VALUE"""),100)</f>
        <v>100</v>
      </c>
      <c r="J169" s="8"/>
      <c r="K169" s="8"/>
      <c r="L169" s="8" t="str">
        <f ca="1">IFERROR(__xludf.DUMMYFUNCTION("""COMPUTED_VALUE"""),"St Benildus")</f>
        <v>St Benildus</v>
      </c>
      <c r="M169" s="16" t="str">
        <f ca="1">IFERROR(__xludf.DUMMYFUNCTION("""COMPUTED_VALUE"""),"IRL")</f>
        <v>IRL</v>
      </c>
      <c r="N169" s="16" t="str">
        <f ca="1">IFERROR(__xludf.DUMMYFUNCTION("""COMPUTED_VALUE"""),"Fontana")</f>
        <v>Fontana</v>
      </c>
      <c r="O169" s="8"/>
      <c r="P169" s="8">
        <f ca="1">IFERROR(__xludf.DUMMYFUNCTION("""COMPUTED_VALUE"""),104)</f>
        <v>104</v>
      </c>
      <c r="Q169" s="8">
        <f ca="1">IFERROR(__xludf.DUMMYFUNCTION("""COMPUTED_VALUE"""),8)</f>
        <v>8</v>
      </c>
      <c r="R169" s="8">
        <f ca="1">IFERROR(__xludf.DUMMYFUNCTION("""COMPUTED_VALUE"""),832)</f>
        <v>832</v>
      </c>
      <c r="S169" s="8">
        <f ca="1">IFERROR(__xludf.DUMMYFUNCTION("""COMPUTED_VALUE"""),12.8)</f>
        <v>12.8</v>
      </c>
      <c r="T169" s="8">
        <f ca="1">IFERROR(__xludf.DUMMYFUNCTION("""COMPUTED_VALUE"""),844.8)</f>
        <v>844.8</v>
      </c>
      <c r="U169" s="8"/>
      <c r="V169" s="8"/>
      <c r="W169" s="8"/>
      <c r="X169" s="8"/>
      <c r="Y169" s="8"/>
      <c r="Z169" s="37" t="str">
        <f ca="1">IFERROR(__xludf.DUMMYFUNCTION("""COMPUTED_VALUE"""),"W64045")</f>
        <v>W64045</v>
      </c>
      <c r="AA169" s="37" t="str">
        <f ca="1">IFERROR(__xludf.DUMMYFUNCTION("""COMPUTED_VALUE"""),"27/10/2024")</f>
        <v>27/10/2024</v>
      </c>
      <c r="AB169" s="59">
        <f ca="1">IFERROR(__xludf.DUMMYFUNCTION("""COMPUTED_VALUE"""),0.538194444444444)</f>
        <v>0.53819444444444398</v>
      </c>
    </row>
    <row r="170" spans="1:28" ht="14.55" customHeight="1" x14ac:dyDescent="0.3">
      <c r="A170" s="8">
        <v>43</v>
      </c>
      <c r="B170" s="8"/>
      <c r="C170" s="8"/>
      <c r="D170" s="8" t="str">
        <f ca="1">IFERROR(__xludf.DUMMYFUNCTION("""COMPUTED_VALUE"""),"15/08/2024")</f>
        <v>15/08/2024</v>
      </c>
      <c r="E170" s="16" t="str">
        <f ca="1">IFERROR(__xludf.DUMMYFUNCTION("""COMPUTED_VALUE"""),"Player")</f>
        <v>Player</v>
      </c>
      <c r="F170" s="8" t="str">
        <f ca="1">IFERROR(__xludf.DUMMYFUNCTION("""COMPUTED_VALUE"""),"Healy, John")</f>
        <v>Healy, John</v>
      </c>
      <c r="G170" s="16" t="str">
        <f ca="1">IFERROR(__xludf.DUMMYFUNCTION("""COMPUTED_VALUE"""),"IRL")</f>
        <v>IRL</v>
      </c>
      <c r="H170" s="8"/>
      <c r="I170" s="8">
        <f ca="1">IFERROR(__xludf.DUMMYFUNCTION("""COMPUTED_VALUE"""),100)</f>
        <v>100</v>
      </c>
      <c r="J170" s="8"/>
      <c r="K170" s="8"/>
      <c r="L170" s="8" t="str">
        <f ca="1">IFERROR(__xludf.DUMMYFUNCTION("""COMPUTED_VALUE"""),"St Benildus")</f>
        <v>St Benildus</v>
      </c>
      <c r="M170" s="16" t="str">
        <f ca="1">IFERROR(__xludf.DUMMYFUNCTION("""COMPUTED_VALUE"""),"IRL")</f>
        <v>IRL</v>
      </c>
      <c r="N170" s="16" t="str">
        <f ca="1">IFERROR(__xludf.DUMMYFUNCTION("""COMPUTED_VALUE"""),"Fontana")</f>
        <v>Fontana</v>
      </c>
      <c r="O170" s="8"/>
      <c r="P170" s="8">
        <f ca="1">IFERROR(__xludf.DUMMYFUNCTION("""COMPUTED_VALUE"""),104)</f>
        <v>104</v>
      </c>
      <c r="Q170" s="8">
        <f ca="1">IFERROR(__xludf.DUMMYFUNCTION("""COMPUTED_VALUE"""),8)</f>
        <v>8</v>
      </c>
      <c r="R170" s="8">
        <f ca="1">IFERROR(__xludf.DUMMYFUNCTION("""COMPUTED_VALUE"""),832)</f>
        <v>832</v>
      </c>
      <c r="S170" s="8">
        <f ca="1">IFERROR(__xludf.DUMMYFUNCTION("""COMPUTED_VALUE"""),12.8)</f>
        <v>12.8</v>
      </c>
      <c r="T170" s="8">
        <f ca="1">IFERROR(__xludf.DUMMYFUNCTION("""COMPUTED_VALUE"""),844.8)</f>
        <v>844.8</v>
      </c>
      <c r="U170" s="8"/>
      <c r="V170" s="8"/>
      <c r="W170" s="8"/>
      <c r="X170" s="8"/>
      <c r="Y170" s="8"/>
      <c r="Z170" s="37" t="str">
        <f ca="1">IFERROR(__xludf.DUMMYFUNCTION("""COMPUTED_VALUE"""),"W64045")</f>
        <v>W64045</v>
      </c>
      <c r="AA170" s="37" t="str">
        <f ca="1">IFERROR(__xludf.DUMMYFUNCTION("""COMPUTED_VALUE"""),"27/10/2024")</f>
        <v>27/10/2024</v>
      </c>
      <c r="AB170" s="59">
        <f ca="1">IFERROR(__xludf.DUMMYFUNCTION("""COMPUTED_VALUE"""),0.538194444444444)</f>
        <v>0.53819444444444398</v>
      </c>
    </row>
    <row r="171" spans="1:28" ht="14.55" customHeight="1" x14ac:dyDescent="0.3">
      <c r="A171" s="8">
        <v>44</v>
      </c>
      <c r="B171" s="8"/>
      <c r="C171" s="8"/>
      <c r="D171" s="8" t="str">
        <f ca="1">IFERROR(__xludf.DUMMYFUNCTION("""COMPUTED_VALUE"""),"15/08/2024")</f>
        <v>15/08/2024</v>
      </c>
      <c r="E171" s="16" t="str">
        <f ca="1">IFERROR(__xludf.DUMMYFUNCTION("""COMPUTED_VALUE"""),"Player")</f>
        <v>Player</v>
      </c>
      <c r="F171" s="8" t="str">
        <f ca="1">IFERROR(__xludf.DUMMYFUNCTION("""COMPUTED_VALUE"""),"Corchon Granero, Mateo")</f>
        <v>Corchon Granero, Mateo</v>
      </c>
      <c r="G171" s="16" t="str">
        <f ca="1">IFERROR(__xludf.DUMMYFUNCTION("""COMPUTED_VALUE"""),"ESP")</f>
        <v>ESP</v>
      </c>
      <c r="H171" s="8"/>
      <c r="I171" s="8">
        <f ca="1">IFERROR(__xludf.DUMMYFUNCTION("""COMPUTED_VALUE"""),100)</f>
        <v>100</v>
      </c>
      <c r="J171" s="8"/>
      <c r="K171" s="8"/>
      <c r="L171" s="8" t="str">
        <f ca="1">IFERROR(__xludf.DUMMYFUNCTION("""COMPUTED_VALUE"""),"St Benildus")</f>
        <v>St Benildus</v>
      </c>
      <c r="M171" s="16" t="str">
        <f ca="1">IFERROR(__xludf.DUMMYFUNCTION("""COMPUTED_VALUE"""),"IRL")</f>
        <v>IRL</v>
      </c>
      <c r="N171" s="16" t="str">
        <f ca="1">IFERROR(__xludf.DUMMYFUNCTION("""COMPUTED_VALUE"""),"Fontana")</f>
        <v>Fontana</v>
      </c>
      <c r="O171" s="8" t="str">
        <f ca="1">IFERROR(__xludf.DUMMYFUNCTION("""COMPUTED_VALUE"""),"José")</f>
        <v>José</v>
      </c>
      <c r="P171" s="8">
        <f ca="1">IFERROR(__xludf.DUMMYFUNCTION("""COMPUTED_VALUE"""),84)</f>
        <v>84</v>
      </c>
      <c r="Q171" s="8">
        <f ca="1">IFERROR(__xludf.DUMMYFUNCTION("""COMPUTED_VALUE"""),8)</f>
        <v>8</v>
      </c>
      <c r="R171" s="8">
        <f ca="1">IFERROR(__xludf.DUMMYFUNCTION("""COMPUTED_VALUE"""),672)</f>
        <v>672</v>
      </c>
      <c r="S171" s="8">
        <f ca="1">IFERROR(__xludf.DUMMYFUNCTION("""COMPUTED_VALUE"""),12.8)</f>
        <v>12.8</v>
      </c>
      <c r="T171" s="8">
        <f ca="1">IFERROR(__xludf.DUMMYFUNCTION("""COMPUTED_VALUE"""),684.8)</f>
        <v>684.8</v>
      </c>
      <c r="U171" s="8"/>
      <c r="V171" s="8"/>
      <c r="W171" s="8"/>
      <c r="X171" s="8"/>
      <c r="Y171" s="8"/>
      <c r="Z171" s="37" t="str">
        <f ca="1">IFERROR(__xludf.DUMMYFUNCTION("""COMPUTED_VALUE"""),"W64045")</f>
        <v>W64045</v>
      </c>
      <c r="AA171" s="37" t="str">
        <f ca="1">IFERROR(__xludf.DUMMYFUNCTION("""COMPUTED_VALUE"""),"27/10/2024")</f>
        <v>27/10/2024</v>
      </c>
      <c r="AB171" s="59">
        <f ca="1">IFERROR(__xludf.DUMMYFUNCTION("""COMPUTED_VALUE"""),0.538194444444444)</f>
        <v>0.53819444444444398</v>
      </c>
    </row>
    <row r="172" spans="1:28" ht="14.55" customHeight="1" x14ac:dyDescent="0.3">
      <c r="A172" s="8">
        <v>45</v>
      </c>
      <c r="B172" s="8"/>
      <c r="C172" s="8"/>
      <c r="D172" s="8" t="str">
        <f ca="1">IFERROR(__xludf.DUMMYFUNCTION("""COMPUTED_VALUE"""),"15/08/2024")</f>
        <v>15/08/2024</v>
      </c>
      <c r="E172" s="16" t="s">
        <v>0</v>
      </c>
      <c r="F172" s="8" t="str">
        <f ca="1">IFERROR(__xludf.DUMMYFUNCTION("""COMPUTED_VALUE"""),"Granero Escudero, Jose")</f>
        <v>Granero Escudero, Jose</v>
      </c>
      <c r="G172" s="16" t="str">
        <f ca="1">IFERROR(__xludf.DUMMYFUNCTION("""COMPUTED_VALUE"""),"ESP")</f>
        <v>ESP</v>
      </c>
      <c r="H172" s="8"/>
      <c r="I172" s="8">
        <f ca="1">IFERROR(__xludf.DUMMYFUNCTION("""COMPUTED_VALUE"""),100)</f>
        <v>100</v>
      </c>
      <c r="J172" s="8"/>
      <c r="K172" s="8"/>
      <c r="L172" s="8" t="str">
        <f ca="1">IFERROR(__xludf.DUMMYFUNCTION("""COMPUTED_VALUE"""),"St Benildus")</f>
        <v>St Benildus</v>
      </c>
      <c r="M172" s="16" t="str">
        <f ca="1">IFERROR(__xludf.DUMMYFUNCTION("""COMPUTED_VALUE"""),"IRL")</f>
        <v>IRL</v>
      </c>
      <c r="N172" s="16" t="str">
        <f ca="1">IFERROR(__xludf.DUMMYFUNCTION("""COMPUTED_VALUE"""),"Fontana")</f>
        <v>Fontana</v>
      </c>
      <c r="O172" s="8" t="str">
        <f ca="1">IFERROR(__xludf.DUMMYFUNCTION("""COMPUTED_VALUE"""),"Mateo")</f>
        <v>Mateo</v>
      </c>
      <c r="P172" s="8">
        <f ca="1">IFERROR(__xludf.DUMMYFUNCTION("""COMPUTED_VALUE"""),84)</f>
        <v>84</v>
      </c>
      <c r="Q172" s="8">
        <f ca="1">IFERROR(__xludf.DUMMYFUNCTION("""COMPUTED_VALUE"""),8)</f>
        <v>8</v>
      </c>
      <c r="R172" s="8">
        <f ca="1">IFERROR(__xludf.DUMMYFUNCTION("""COMPUTED_VALUE"""),672)</f>
        <v>672</v>
      </c>
      <c r="S172" s="8">
        <f ca="1">IFERROR(__xludf.DUMMYFUNCTION("""COMPUTED_VALUE"""),12.8)</f>
        <v>12.8</v>
      </c>
      <c r="T172" s="8">
        <f ca="1">IFERROR(__xludf.DUMMYFUNCTION("""COMPUTED_VALUE"""),684.8)</f>
        <v>684.8</v>
      </c>
      <c r="U172" s="8"/>
      <c r="V172" s="8"/>
      <c r="W172" s="8"/>
      <c r="X172" s="8"/>
      <c r="Y172" s="8"/>
      <c r="Z172" s="37" t="str">
        <f ca="1">IFERROR(__xludf.DUMMYFUNCTION("""COMPUTED_VALUE"""),"N/A")</f>
        <v>N/A</v>
      </c>
      <c r="AA172" s="37" t="str">
        <f ca="1">IFERROR(__xludf.DUMMYFUNCTION("""COMPUTED_VALUE"""),"27/10/2024")</f>
        <v>27/10/2024</v>
      </c>
      <c r="AB172" s="59">
        <f ca="1">IFERROR(__xludf.DUMMYFUNCTION("""COMPUTED_VALUE"""),0.538194444444444)</f>
        <v>0.53819444444444398</v>
      </c>
    </row>
    <row r="173" spans="1:28" ht="14.55" customHeight="1" x14ac:dyDescent="0.3">
      <c r="A173" s="8">
        <v>46</v>
      </c>
      <c r="B173" s="8"/>
      <c r="C173" s="8"/>
      <c r="D173" s="8" t="str">
        <f ca="1">IFERROR(__xludf.DUMMYFUNCTION("""COMPUTED_VALUE"""),"27/07/2024")</f>
        <v>27/07/2024</v>
      </c>
      <c r="E173" s="16" t="str">
        <f ca="1">IFERROR(__xludf.DUMMYFUNCTION("""COMPUTED_VALUE"""),"Player")</f>
        <v>Player</v>
      </c>
      <c r="F173" s="8" t="str">
        <f ca="1">IFERROR(__xludf.DUMMYFUNCTION("""COMPUTED_VALUE"""),"Firouzja, Alireza")</f>
        <v>Firouzja, Alireza</v>
      </c>
      <c r="G173" s="16" t="str">
        <f ca="1">IFERROR(__xludf.DUMMYFUNCTION("""COMPUTED_VALUE"""),"FRA")</f>
        <v>FRA</v>
      </c>
      <c r="H173" s="8"/>
      <c r="I173" s="8">
        <f ca="1">IFERROR(__xludf.DUMMYFUNCTION("""COMPUTED_VALUE"""),100)</f>
        <v>100</v>
      </c>
      <c r="J173" s="8"/>
      <c r="K173" s="8"/>
      <c r="L173" s="8" t="str">
        <f ca="1">IFERROR(__xludf.DUMMYFUNCTION("""COMPUTED_VALUE"""),"C'Chartres Echecs")</f>
        <v>C'Chartres Echecs</v>
      </c>
      <c r="M173" s="16" t="str">
        <f ca="1">IFERROR(__xludf.DUMMYFUNCTION("""COMPUTED_VALUE"""),"FRA")</f>
        <v>FRA</v>
      </c>
      <c r="N173" s="16" t="str">
        <f ca="1">IFERROR(__xludf.DUMMYFUNCTION("""COMPUTED_VALUE"""),"Zepter")</f>
        <v>Zepter</v>
      </c>
      <c r="O173" s="8"/>
      <c r="P173" s="8">
        <f ca="1">IFERROR(__xludf.DUMMYFUNCTION("""COMPUTED_VALUE"""),104)</f>
        <v>104</v>
      </c>
      <c r="Q173" s="8">
        <f ca="1">IFERROR(__xludf.DUMMYFUNCTION("""COMPUTED_VALUE"""),9)</f>
        <v>9</v>
      </c>
      <c r="R173" s="8">
        <f ca="1">IFERROR(__xludf.DUMMYFUNCTION("""COMPUTED_VALUE"""),936)</f>
        <v>936</v>
      </c>
      <c r="S173" s="8">
        <f ca="1">IFERROR(__xludf.DUMMYFUNCTION("""COMPUTED_VALUE"""),14.4)</f>
        <v>14.4</v>
      </c>
      <c r="T173" s="8">
        <f ca="1">IFERROR(__xludf.DUMMYFUNCTION("""COMPUTED_VALUE"""),950.4)</f>
        <v>950.4</v>
      </c>
      <c r="U173" s="8"/>
      <c r="V173" s="8"/>
      <c r="W173" s="8"/>
      <c r="X173" s="8"/>
      <c r="Y173" s="8"/>
      <c r="Z173" s="37" t="str">
        <f ca="1">IFERROR(__xludf.DUMMYFUNCTION("""COMPUTED_VALUE"""),"W64045")</f>
        <v>W64045</v>
      </c>
      <c r="AA173" s="37" t="str">
        <f ca="1">IFERROR(__xludf.DUMMYFUNCTION("""COMPUTED_VALUE"""),"27/10/2024")</f>
        <v>27/10/2024</v>
      </c>
      <c r="AB173" s="64">
        <v>0.53819444444444442</v>
      </c>
    </row>
    <row r="174" spans="1:28" ht="14.55" customHeight="1" x14ac:dyDescent="0.3">
      <c r="A174" s="8">
        <v>47</v>
      </c>
      <c r="B174" s="8"/>
      <c r="C174" s="8"/>
      <c r="D174" s="8" t="str">
        <f ca="1">IFERROR(__xludf.DUMMYFUNCTION("""COMPUTED_VALUE"""),"27/07/2024")</f>
        <v>27/07/2024</v>
      </c>
      <c r="E174" s="16" t="str">
        <f ca="1">IFERROR(__xludf.DUMMYFUNCTION("""COMPUTED_VALUE"""),"Player")</f>
        <v>Player</v>
      </c>
      <c r="F174" s="8" t="str">
        <f ca="1">IFERROR(__xludf.DUMMYFUNCTION("""COMPUTED_VALUE"""),"Ivanchuk, Vasyl")</f>
        <v>Ivanchuk, Vasyl</v>
      </c>
      <c r="G174" s="16" t="str">
        <f ca="1">IFERROR(__xludf.DUMMYFUNCTION("""COMPUTED_VALUE"""),"UKR")</f>
        <v>UKR</v>
      </c>
      <c r="H174" s="8"/>
      <c r="I174" s="8">
        <f ca="1">IFERROR(__xludf.DUMMYFUNCTION("""COMPUTED_VALUE"""),100)</f>
        <v>100</v>
      </c>
      <c r="J174" s="8"/>
      <c r="K174" s="8"/>
      <c r="L174" s="8" t="str">
        <f ca="1">IFERROR(__xludf.DUMMYFUNCTION("""COMPUTED_VALUE"""),"C'Chartres Echecs")</f>
        <v>C'Chartres Echecs</v>
      </c>
      <c r="M174" s="16" t="str">
        <f ca="1">IFERROR(__xludf.DUMMYFUNCTION("""COMPUTED_VALUE"""),"FRA")</f>
        <v>FRA</v>
      </c>
      <c r="N174" s="16" t="str">
        <f ca="1">IFERROR(__xludf.DUMMYFUNCTION("""COMPUTED_VALUE"""),"Zepter")</f>
        <v>Zepter</v>
      </c>
      <c r="O174" s="8"/>
      <c r="P174" s="8">
        <f ca="1">IFERROR(__xludf.DUMMYFUNCTION("""COMPUTED_VALUE"""),104)</f>
        <v>104</v>
      </c>
      <c r="Q174" s="8">
        <f ca="1">IFERROR(__xludf.DUMMYFUNCTION("""COMPUTED_VALUE"""),9)</f>
        <v>9</v>
      </c>
      <c r="R174" s="8">
        <f ca="1">IFERROR(__xludf.DUMMYFUNCTION("""COMPUTED_VALUE"""),936)</f>
        <v>936</v>
      </c>
      <c r="S174" s="8">
        <f ca="1">IFERROR(__xludf.DUMMYFUNCTION("""COMPUTED_VALUE"""),14.4)</f>
        <v>14.4</v>
      </c>
      <c r="T174" s="8">
        <f ca="1">IFERROR(__xludf.DUMMYFUNCTION("""COMPUTED_VALUE"""),950.4)</f>
        <v>950.4</v>
      </c>
      <c r="U174" s="8"/>
      <c r="V174" s="8"/>
      <c r="W174" s="8"/>
      <c r="X174" s="8"/>
      <c r="Y174" s="8"/>
      <c r="Z174" s="37" t="str">
        <f ca="1">IFERROR(__xludf.DUMMYFUNCTION("""COMPUTED_VALUE"""),"W64045")</f>
        <v>W64045</v>
      </c>
      <c r="AA174" s="37" t="str">
        <f ca="1">IFERROR(__xludf.DUMMYFUNCTION("""COMPUTED_VALUE"""),"27/10/2024")</f>
        <v>27/10/2024</v>
      </c>
      <c r="AB174" s="64">
        <v>0.53819444444444442</v>
      </c>
    </row>
    <row r="175" spans="1:28" ht="14.55" customHeight="1" x14ac:dyDescent="0.3">
      <c r="A175" s="8">
        <v>48</v>
      </c>
      <c r="B175" s="8"/>
      <c r="C175" s="8"/>
      <c r="D175" s="8" t="str">
        <f ca="1">IFERROR(__xludf.DUMMYFUNCTION("""COMPUTED_VALUE"""),"27/07/2024")</f>
        <v>27/07/2024</v>
      </c>
      <c r="E175" s="16" t="str">
        <f ca="1">IFERROR(__xludf.DUMMYFUNCTION("""COMPUTED_VALUE"""),"Player")</f>
        <v>Player</v>
      </c>
      <c r="F175" s="8" t="str">
        <f ca="1">IFERROR(__xludf.DUMMYFUNCTION("""COMPUTED_VALUE"""),"Fressinet, Laurent")</f>
        <v>Fressinet, Laurent</v>
      </c>
      <c r="G175" s="16" t="str">
        <f ca="1">IFERROR(__xludf.DUMMYFUNCTION("""COMPUTED_VALUE"""),"FRA")</f>
        <v>FRA</v>
      </c>
      <c r="H175" s="8"/>
      <c r="I175" s="8">
        <f ca="1">IFERROR(__xludf.DUMMYFUNCTION("""COMPUTED_VALUE"""),100)</f>
        <v>100</v>
      </c>
      <c r="J175" s="8"/>
      <c r="K175" s="8"/>
      <c r="L175" s="8" t="str">
        <f ca="1">IFERROR(__xludf.DUMMYFUNCTION("""COMPUTED_VALUE"""),"C'Chartres Echecs")</f>
        <v>C'Chartres Echecs</v>
      </c>
      <c r="M175" s="16" t="str">
        <f ca="1">IFERROR(__xludf.DUMMYFUNCTION("""COMPUTED_VALUE"""),"FRA")</f>
        <v>FRA</v>
      </c>
      <c r="N175" s="16" t="str">
        <f ca="1">IFERROR(__xludf.DUMMYFUNCTION("""COMPUTED_VALUE"""),"Zepter")</f>
        <v>Zepter</v>
      </c>
      <c r="O175" s="8"/>
      <c r="P175" s="8">
        <f ca="1">IFERROR(__xludf.DUMMYFUNCTION("""COMPUTED_VALUE"""),104)</f>
        <v>104</v>
      </c>
      <c r="Q175" s="8">
        <f ca="1">IFERROR(__xludf.DUMMYFUNCTION("""COMPUTED_VALUE"""),9)</f>
        <v>9</v>
      </c>
      <c r="R175" s="8">
        <f ca="1">IFERROR(__xludf.DUMMYFUNCTION("""COMPUTED_VALUE"""),936)</f>
        <v>936</v>
      </c>
      <c r="S175" s="8">
        <f ca="1">IFERROR(__xludf.DUMMYFUNCTION("""COMPUTED_VALUE"""),14.4)</f>
        <v>14.4</v>
      </c>
      <c r="T175" s="8">
        <f ca="1">IFERROR(__xludf.DUMMYFUNCTION("""COMPUTED_VALUE"""),950.4)</f>
        <v>950.4</v>
      </c>
      <c r="U175" s="8"/>
      <c r="V175" s="8"/>
      <c r="W175" s="8"/>
      <c r="X175" s="8"/>
      <c r="Y175" s="8"/>
      <c r="Z175" s="37" t="str">
        <f ca="1">IFERROR(__xludf.DUMMYFUNCTION("""COMPUTED_VALUE"""),"W64045")</f>
        <v>W64045</v>
      </c>
      <c r="AA175" s="37" t="str">
        <f ca="1">IFERROR(__xludf.DUMMYFUNCTION("""COMPUTED_VALUE"""),"27/10/2024")</f>
        <v>27/10/2024</v>
      </c>
      <c r="AB175" s="64">
        <v>0.53819444444444442</v>
      </c>
    </row>
    <row r="176" spans="1:28" ht="14.55" customHeight="1" x14ac:dyDescent="0.3">
      <c r="A176" s="8">
        <v>49</v>
      </c>
      <c r="B176" s="8"/>
      <c r="C176" s="8"/>
      <c r="D176" s="8" t="str">
        <f ca="1">IFERROR(__xludf.DUMMYFUNCTION("""COMPUTED_VALUE"""),"27/07/2024")</f>
        <v>27/07/2024</v>
      </c>
      <c r="E176" s="16" t="str">
        <f ca="1">IFERROR(__xludf.DUMMYFUNCTION("""COMPUTED_VALUE"""),"Player")</f>
        <v>Player</v>
      </c>
      <c r="F176" s="8" t="str">
        <f ca="1">IFERROR(__xludf.DUMMYFUNCTION("""COMPUTED_VALUE"""),"Maurizzi, Marc`Andria")</f>
        <v>Maurizzi, Marc`Andria</v>
      </c>
      <c r="G176" s="16" t="str">
        <f ca="1">IFERROR(__xludf.DUMMYFUNCTION("""COMPUTED_VALUE"""),"FRA")</f>
        <v>FRA</v>
      </c>
      <c r="H176" s="8"/>
      <c r="I176" s="8">
        <f ca="1">IFERROR(__xludf.DUMMYFUNCTION("""COMPUTED_VALUE"""),100)</f>
        <v>100</v>
      </c>
      <c r="J176" s="8"/>
      <c r="K176" s="8"/>
      <c r="L176" s="8" t="str">
        <f ca="1">IFERROR(__xludf.DUMMYFUNCTION("""COMPUTED_VALUE"""),"C'Chartres Echecs")</f>
        <v>C'Chartres Echecs</v>
      </c>
      <c r="M176" s="16" t="str">
        <f ca="1">IFERROR(__xludf.DUMMYFUNCTION("""COMPUTED_VALUE"""),"FRA")</f>
        <v>FRA</v>
      </c>
      <c r="N176" s="16" t="str">
        <f ca="1">IFERROR(__xludf.DUMMYFUNCTION("""COMPUTED_VALUE"""),"Zepter")</f>
        <v>Zepter</v>
      </c>
      <c r="O176" s="8"/>
      <c r="P176" s="8">
        <f ca="1">IFERROR(__xludf.DUMMYFUNCTION("""COMPUTED_VALUE"""),104)</f>
        <v>104</v>
      </c>
      <c r="Q176" s="8">
        <f ca="1">IFERROR(__xludf.DUMMYFUNCTION("""COMPUTED_VALUE"""),9)</f>
        <v>9</v>
      </c>
      <c r="R176" s="8">
        <f ca="1">IFERROR(__xludf.DUMMYFUNCTION("""COMPUTED_VALUE"""),936)</f>
        <v>936</v>
      </c>
      <c r="S176" s="8">
        <f ca="1">IFERROR(__xludf.DUMMYFUNCTION("""COMPUTED_VALUE"""),14.4)</f>
        <v>14.4</v>
      </c>
      <c r="T176" s="8">
        <f ca="1">IFERROR(__xludf.DUMMYFUNCTION("""COMPUTED_VALUE"""),950.4)</f>
        <v>950.4</v>
      </c>
      <c r="U176" s="8"/>
      <c r="V176" s="8"/>
      <c r="W176" s="8"/>
      <c r="X176" s="8"/>
      <c r="Y176" s="8"/>
      <c r="Z176" s="37" t="str">
        <f ca="1">IFERROR(__xludf.DUMMYFUNCTION("""COMPUTED_VALUE"""),"W64045")</f>
        <v>W64045</v>
      </c>
      <c r="AA176" s="37" t="str">
        <f ca="1">IFERROR(__xludf.DUMMYFUNCTION("""COMPUTED_VALUE"""),"27/10/2024")</f>
        <v>27/10/2024</v>
      </c>
      <c r="AB176" s="64">
        <v>0.53819444444444442</v>
      </c>
    </row>
    <row r="177" spans="1:28" ht="14.55" customHeight="1" x14ac:dyDescent="0.3">
      <c r="A177" s="8">
        <v>50</v>
      </c>
      <c r="B177" s="8"/>
      <c r="C177" s="8"/>
      <c r="D177" s="8" t="str">
        <f ca="1">IFERROR(__xludf.DUMMYFUNCTION("""COMPUTED_VALUE"""),"27/07/2024")</f>
        <v>27/07/2024</v>
      </c>
      <c r="E177" s="16" t="str">
        <f ca="1">IFERROR(__xludf.DUMMYFUNCTION("""COMPUTED_VALUE"""),"Player")</f>
        <v>Player</v>
      </c>
      <c r="F177" s="8" t="str">
        <f ca="1">IFERROR(__xludf.DUMMYFUNCTION("""COMPUTED_VALUE"""),"Lagarde, Maxime")</f>
        <v>Lagarde, Maxime</v>
      </c>
      <c r="G177" s="16" t="str">
        <f ca="1">IFERROR(__xludf.DUMMYFUNCTION("""COMPUTED_VALUE"""),"FRA")</f>
        <v>FRA</v>
      </c>
      <c r="H177" s="8"/>
      <c r="I177" s="8">
        <f ca="1">IFERROR(__xludf.DUMMYFUNCTION("""COMPUTED_VALUE"""),100)</f>
        <v>100</v>
      </c>
      <c r="J177" s="8"/>
      <c r="K177" s="8"/>
      <c r="L177" s="8" t="str">
        <f ca="1">IFERROR(__xludf.DUMMYFUNCTION("""COMPUTED_VALUE"""),"C'Chartres Echecs")</f>
        <v>C'Chartres Echecs</v>
      </c>
      <c r="M177" s="16" t="str">
        <f ca="1">IFERROR(__xludf.DUMMYFUNCTION("""COMPUTED_VALUE"""),"FRA")</f>
        <v>FRA</v>
      </c>
      <c r="N177" s="16" t="str">
        <f ca="1">IFERROR(__xludf.DUMMYFUNCTION("""COMPUTED_VALUE"""),"Zepter")</f>
        <v>Zepter</v>
      </c>
      <c r="O177" s="8"/>
      <c r="P177" s="8">
        <f ca="1">IFERROR(__xludf.DUMMYFUNCTION("""COMPUTED_VALUE"""),104)</f>
        <v>104</v>
      </c>
      <c r="Q177" s="8">
        <f ca="1">IFERROR(__xludf.DUMMYFUNCTION("""COMPUTED_VALUE"""),9)</f>
        <v>9</v>
      </c>
      <c r="R177" s="8">
        <f ca="1">IFERROR(__xludf.DUMMYFUNCTION("""COMPUTED_VALUE"""),936)</f>
        <v>936</v>
      </c>
      <c r="S177" s="8">
        <f ca="1">IFERROR(__xludf.DUMMYFUNCTION("""COMPUTED_VALUE"""),14.4)</f>
        <v>14.4</v>
      </c>
      <c r="T177" s="8">
        <f ca="1">IFERROR(__xludf.DUMMYFUNCTION("""COMPUTED_VALUE"""),950.4)</f>
        <v>950.4</v>
      </c>
      <c r="U177" s="8"/>
      <c r="V177" s="8"/>
      <c r="W177" s="8"/>
      <c r="X177" s="8"/>
      <c r="Y177" s="8"/>
      <c r="Z177" s="37" t="str">
        <f ca="1">IFERROR(__xludf.DUMMYFUNCTION("""COMPUTED_VALUE"""),"W64045")</f>
        <v>W64045</v>
      </c>
      <c r="AA177" s="37" t="str">
        <f ca="1">IFERROR(__xludf.DUMMYFUNCTION("""COMPUTED_VALUE"""),"27/10/2024")</f>
        <v>27/10/2024</v>
      </c>
      <c r="AB177" s="64">
        <v>0.53819444444444442</v>
      </c>
    </row>
    <row r="178" spans="1:28" ht="14.55" customHeight="1" x14ac:dyDescent="0.3">
      <c r="A178" s="8">
        <v>51</v>
      </c>
      <c r="B178" s="8"/>
      <c r="C178" s="8"/>
      <c r="D178" s="8" t="str">
        <f ca="1">IFERROR(__xludf.DUMMYFUNCTION("""COMPUTED_VALUE"""),"27/07/2024")</f>
        <v>27/07/2024</v>
      </c>
      <c r="E178" s="16" t="str">
        <f ca="1">IFERROR(__xludf.DUMMYFUNCTION("""COMPUTED_VALUE"""),"Player")</f>
        <v>Player</v>
      </c>
      <c r="F178" s="8" t="str">
        <f ca="1">IFERROR(__xludf.DUMMYFUNCTION("""COMPUTED_VALUE"""),"Guliyev, Namig")</f>
        <v>Guliyev, Namig</v>
      </c>
      <c r="G178" s="16" t="str">
        <f ca="1">IFERROR(__xludf.DUMMYFUNCTION("""COMPUTED_VALUE"""),"AZE")</f>
        <v>AZE</v>
      </c>
      <c r="H178" s="8"/>
      <c r="I178" s="8">
        <f ca="1">IFERROR(__xludf.DUMMYFUNCTION("""COMPUTED_VALUE"""),100)</f>
        <v>100</v>
      </c>
      <c r="J178" s="8"/>
      <c r="K178" s="8"/>
      <c r="L178" s="8" t="str">
        <f ca="1">IFERROR(__xludf.DUMMYFUNCTION("""COMPUTED_VALUE"""),"C'Chartres Echecs")</f>
        <v>C'Chartres Echecs</v>
      </c>
      <c r="M178" s="16" t="str">
        <f ca="1">IFERROR(__xludf.DUMMYFUNCTION("""COMPUTED_VALUE"""),"FRA")</f>
        <v>FRA</v>
      </c>
      <c r="N178" s="16" t="str">
        <f ca="1">IFERROR(__xludf.DUMMYFUNCTION("""COMPUTED_VALUE"""),"Zepter")</f>
        <v>Zepter</v>
      </c>
      <c r="O178" s="8"/>
      <c r="P178" s="8">
        <f ca="1">IFERROR(__xludf.DUMMYFUNCTION("""COMPUTED_VALUE"""),104)</f>
        <v>104</v>
      </c>
      <c r="Q178" s="8">
        <f ca="1">IFERROR(__xludf.DUMMYFUNCTION("""COMPUTED_VALUE"""),8)</f>
        <v>8</v>
      </c>
      <c r="R178" s="8">
        <f ca="1">IFERROR(__xludf.DUMMYFUNCTION("""COMPUTED_VALUE"""),832)</f>
        <v>832</v>
      </c>
      <c r="S178" s="8">
        <f ca="1">IFERROR(__xludf.DUMMYFUNCTION("""COMPUTED_VALUE"""),12.8)</f>
        <v>12.8</v>
      </c>
      <c r="T178" s="8">
        <f ca="1">IFERROR(__xludf.DUMMYFUNCTION("""COMPUTED_VALUE"""),844.8)</f>
        <v>844.8</v>
      </c>
      <c r="U178" s="8"/>
      <c r="V178" s="8"/>
      <c r="W178" s="8"/>
      <c r="X178" s="8"/>
      <c r="Y178" s="8"/>
      <c r="Z178" s="37" t="str">
        <f ca="1">IFERROR(__xludf.DUMMYFUNCTION("""COMPUTED_VALUE"""),"W64045")</f>
        <v>W64045</v>
      </c>
      <c r="AA178" s="37" t="str">
        <f ca="1">IFERROR(__xludf.DUMMYFUNCTION("""COMPUTED_VALUE"""),"27/10/2024")</f>
        <v>27/10/2024</v>
      </c>
      <c r="AB178" s="64">
        <v>0.53819444444444442</v>
      </c>
    </row>
    <row r="179" spans="1:28" ht="14.55" customHeight="1" x14ac:dyDescent="0.3">
      <c r="A179" s="8">
        <v>52</v>
      </c>
      <c r="B179" s="8"/>
      <c r="C179" s="8"/>
      <c r="D179" s="13">
        <f ca="1">IFERROR(__xludf.DUMMYFUNCTION("""COMPUTED_VALUE"""),45573)</f>
        <v>45573</v>
      </c>
      <c r="E179" s="16" t="s">
        <v>0</v>
      </c>
      <c r="F179" s="8" t="str">
        <f ca="1">IFERROR(__xludf.DUMMYFUNCTION("""COMPUTED_VALUE"""),"Maurizzi, Dominique")</f>
        <v>Maurizzi, Dominique</v>
      </c>
      <c r="G179" s="16" t="str">
        <f ca="1">IFERROR(__xludf.DUMMYFUNCTION("""COMPUTED_VALUE"""),"FRA")</f>
        <v>FRA</v>
      </c>
      <c r="H179" s="8"/>
      <c r="I179" s="8">
        <f ca="1">IFERROR(__xludf.DUMMYFUNCTION("""COMPUTED_VALUE"""),100)</f>
        <v>100</v>
      </c>
      <c r="J179" s="8"/>
      <c r="K179" s="8"/>
      <c r="L179" s="8" t="str">
        <f ca="1">IFERROR(__xludf.DUMMYFUNCTION("""COMPUTED_VALUE"""),"C'Chartres Echecs")</f>
        <v>C'Chartres Echecs</v>
      </c>
      <c r="M179" s="16" t="str">
        <f ca="1">IFERROR(__xludf.DUMMYFUNCTION("""COMPUTED_VALUE"""),"FRA")</f>
        <v>FRA</v>
      </c>
      <c r="N179" s="16" t="str">
        <f ca="1">IFERROR(__xludf.DUMMYFUNCTION("""COMPUTED_VALUE"""),"Zepter")</f>
        <v>Zepter</v>
      </c>
      <c r="O179" s="8"/>
      <c r="P179" s="8">
        <f ca="1">IFERROR(__xludf.DUMMYFUNCTION("""COMPUTED_VALUE"""),104)</f>
        <v>104</v>
      </c>
      <c r="Q179" s="8">
        <f ca="1">IFERROR(__xludf.DUMMYFUNCTION("""COMPUTED_VALUE"""),9)</f>
        <v>9</v>
      </c>
      <c r="R179" s="8">
        <f ca="1">IFERROR(__xludf.DUMMYFUNCTION("""COMPUTED_VALUE"""),936)</f>
        <v>936</v>
      </c>
      <c r="S179" s="8">
        <f ca="1">IFERROR(__xludf.DUMMYFUNCTION("""COMPUTED_VALUE"""),14.4)</f>
        <v>14.4</v>
      </c>
      <c r="T179" s="8">
        <f ca="1">IFERROR(__xludf.DUMMYFUNCTION("""COMPUTED_VALUE"""),950.4)</f>
        <v>950.4</v>
      </c>
      <c r="U179" s="8"/>
      <c r="V179" s="8"/>
      <c r="W179" s="8"/>
      <c r="X179" s="8"/>
      <c r="Y179" s="8"/>
      <c r="Z179" s="37" t="str">
        <f ca="1">IFERROR(__xludf.DUMMYFUNCTION("""COMPUTED_VALUE"""),"W64045")</f>
        <v>W64045</v>
      </c>
      <c r="AA179" s="37" t="str">
        <f ca="1">IFERROR(__xludf.DUMMYFUNCTION("""COMPUTED_VALUE"""),"27/10/2024")</f>
        <v>27/10/2024</v>
      </c>
      <c r="AB179" s="64">
        <v>0.53819444444444442</v>
      </c>
    </row>
    <row r="180" spans="1:28" ht="14.55" customHeight="1" x14ac:dyDescent="0.3">
      <c r="A180" s="8">
        <v>53</v>
      </c>
      <c r="B180" s="8"/>
      <c r="C180" s="8"/>
      <c r="D180" s="13">
        <f ca="1">IFERROR(__xludf.DUMMYFUNCTION("""COMPUTED_VALUE"""),45542)</f>
        <v>45542</v>
      </c>
      <c r="E180" s="16" t="str">
        <f ca="1">IFERROR(__xludf.DUMMYFUNCTION("""COMPUTED_VALUE"""),"Player")</f>
        <v>Player</v>
      </c>
      <c r="F180" s="8" t="str">
        <f ca="1">IFERROR(__xludf.DUMMYFUNCTION("""COMPUTED_VALUE"""),"Visintin, Roberto")</f>
        <v>Visintin, Roberto</v>
      </c>
      <c r="G180" s="16" t="str">
        <f ca="1">IFERROR(__xludf.DUMMYFUNCTION("""COMPUTED_VALUE"""),"ITA")</f>
        <v>ITA</v>
      </c>
      <c r="H180" s="8"/>
      <c r="I180" s="8">
        <f ca="1">IFERROR(__xludf.DUMMYFUNCTION("""COMPUTED_VALUE"""),100)</f>
        <v>100</v>
      </c>
      <c r="J180" s="8"/>
      <c r="K180" s="8"/>
      <c r="L180" s="8" t="str">
        <f ca="1">IFERROR(__xludf.DUMMYFUNCTION("""COMPUTED_VALUE"""),"Gambit Bonnevoie II")</f>
        <v>Gambit Bonnevoie II</v>
      </c>
      <c r="M180" s="16" t="str">
        <f ca="1">IFERROR(__xludf.DUMMYFUNCTION("""COMPUTED_VALUE"""),"LUX")</f>
        <v>LUX</v>
      </c>
      <c r="N180" s="16" t="str">
        <f ca="1">IFERROR(__xludf.DUMMYFUNCTION("""COMPUTED_VALUE"""),"Fontana")</f>
        <v>Fontana</v>
      </c>
      <c r="O180" s="8"/>
      <c r="P180" s="8">
        <f ca="1">IFERROR(__xludf.DUMMYFUNCTION("""COMPUTED_VALUE"""),104)</f>
        <v>104</v>
      </c>
      <c r="Q180" s="8">
        <f ca="1">IFERROR(__xludf.DUMMYFUNCTION("""COMPUTED_VALUE"""),8)</f>
        <v>8</v>
      </c>
      <c r="R180" s="8">
        <f ca="1">IFERROR(__xludf.DUMMYFUNCTION("""COMPUTED_VALUE"""),832)</f>
        <v>832</v>
      </c>
      <c r="S180" s="8">
        <f ca="1">IFERROR(__xludf.DUMMYFUNCTION("""COMPUTED_VALUE"""),12.8)</f>
        <v>12.8</v>
      </c>
      <c r="T180" s="8">
        <f ca="1">IFERROR(__xludf.DUMMYFUNCTION("""COMPUTED_VALUE"""),844.8)</f>
        <v>844.8</v>
      </c>
      <c r="U180" s="8"/>
      <c r="V180" s="8"/>
      <c r="W180" s="8"/>
      <c r="X180" s="8"/>
      <c r="Y180" s="8"/>
      <c r="Z180" s="37" t="str">
        <f ca="1">IFERROR(__xludf.DUMMYFUNCTION("""COMPUTED_VALUE"""),"JU 622")</f>
        <v>JU 622</v>
      </c>
      <c r="AA180" s="37" t="str">
        <f ca="1">IFERROR(__xludf.DUMMYFUNCTION("""COMPUTED_VALUE"""),"27/10/2024")</f>
        <v>27/10/2024</v>
      </c>
      <c r="AB180" s="59">
        <f ca="1">IFERROR(__xludf.DUMMYFUNCTION("""COMPUTED_VALUE"""),0.541666666666666)</f>
        <v>0.54166666666666596</v>
      </c>
    </row>
    <row r="181" spans="1:28" ht="14.55" customHeight="1" x14ac:dyDescent="0.3">
      <c r="A181" s="8">
        <v>54</v>
      </c>
      <c r="B181" s="8"/>
      <c r="C181" s="8"/>
      <c r="D181" s="8" t="str">
        <f ca="1">IFERROR(__xludf.DUMMYFUNCTION("""COMPUTED_VALUE"""),"14/08/2024")</f>
        <v>14/08/2024</v>
      </c>
      <c r="E181" s="16" t="str">
        <f ca="1">IFERROR(__xludf.DUMMYFUNCTION("""COMPUTED_VALUE"""),"Player")</f>
        <v>Player</v>
      </c>
      <c r="F181" s="8" t="str">
        <f ca="1">IFERROR(__xludf.DUMMYFUNCTION("""COMPUTED_VALUE"""),"Brkic, Ante")</f>
        <v>Brkic, Ante</v>
      </c>
      <c r="G181" s="16" t="str">
        <f ca="1">IFERROR(__xludf.DUMMYFUNCTION("""COMPUTED_VALUE"""),"CRO")</f>
        <v>CRO</v>
      </c>
      <c r="H181" s="8"/>
      <c r="I181" s="8">
        <f ca="1">IFERROR(__xludf.DUMMYFUNCTION("""COMPUTED_VALUE"""),100)</f>
        <v>100</v>
      </c>
      <c r="J181" s="8"/>
      <c r="K181" s="8"/>
      <c r="L181" s="8" t="str">
        <f ca="1">IFERROR(__xludf.DUMMYFUNCTION("""COMPUTED_VALUE"""),"Tajfun SK")</f>
        <v>Tajfun SK</v>
      </c>
      <c r="M181" s="16" t="str">
        <f ca="1">IFERROR(__xludf.DUMMYFUNCTION("""COMPUTED_VALUE"""),"SLO")</f>
        <v>SLO</v>
      </c>
      <c r="N181" s="16" t="str">
        <f ca="1">IFERROR(__xludf.DUMMYFUNCTION("""COMPUTED_VALUE"""),"Tonanti")</f>
        <v>Tonanti</v>
      </c>
      <c r="O181" s="8"/>
      <c r="P181" s="8">
        <f ca="1">IFERROR(__xludf.DUMMYFUNCTION("""COMPUTED_VALUE"""),108)</f>
        <v>108</v>
      </c>
      <c r="Q181" s="8">
        <f ca="1">IFERROR(__xludf.DUMMYFUNCTION("""COMPUTED_VALUE"""),8)</f>
        <v>8</v>
      </c>
      <c r="R181" s="8">
        <f ca="1">IFERROR(__xludf.DUMMYFUNCTION("""COMPUTED_VALUE"""),864)</f>
        <v>864</v>
      </c>
      <c r="S181" s="8">
        <f ca="1">IFERROR(__xludf.DUMMYFUNCTION("""COMPUTED_VALUE"""),12.8)</f>
        <v>12.8</v>
      </c>
      <c r="T181" s="8">
        <f ca="1">IFERROR(__xludf.DUMMYFUNCTION("""COMPUTED_VALUE"""),876.8)</f>
        <v>876.8</v>
      </c>
      <c r="U181" s="8"/>
      <c r="V181" s="8"/>
      <c r="W181" s="8"/>
      <c r="X181" s="8"/>
      <c r="Y181" s="8"/>
      <c r="Z181" s="37" t="str">
        <f ca="1">IFERROR(__xludf.DUMMYFUNCTION("""COMPUTED_VALUE"""),"/")</f>
        <v>/</v>
      </c>
      <c r="AA181" s="37" t="str">
        <f ca="1">IFERROR(__xludf.DUMMYFUNCTION("""COMPUTED_VALUE"""),"27/10/2024")</f>
        <v>27/10/2024</v>
      </c>
      <c r="AB181" s="59">
        <f ca="1">IFERROR(__xludf.DUMMYFUNCTION("""COMPUTED_VALUE"""),0.541666666666666)</f>
        <v>0.54166666666666596</v>
      </c>
    </row>
    <row r="182" spans="1:28" ht="14.55" customHeight="1" x14ac:dyDescent="0.3">
      <c r="A182" s="8">
        <v>55</v>
      </c>
      <c r="B182" s="8"/>
      <c r="C182" s="8"/>
      <c r="D182" s="8" t="str">
        <f ca="1">IFERROR(__xludf.DUMMYFUNCTION("""COMPUTED_VALUE"""),"14/08/2024")</f>
        <v>14/08/2024</v>
      </c>
      <c r="E182" s="16" t="str">
        <f ca="1">IFERROR(__xludf.DUMMYFUNCTION("""COMPUTED_VALUE"""),"Player")</f>
        <v>Player</v>
      </c>
      <c r="F182" s="8" t="str">
        <f ca="1">IFERROR(__xludf.DUMMYFUNCTION("""COMPUTED_VALUE"""),"Sebenik, Matej")</f>
        <v>Sebenik, Matej</v>
      </c>
      <c r="G182" s="16" t="str">
        <f ca="1">IFERROR(__xludf.DUMMYFUNCTION("""COMPUTED_VALUE"""),"SLO")</f>
        <v>SLO</v>
      </c>
      <c r="H182" s="8"/>
      <c r="I182" s="8">
        <f ca="1">IFERROR(__xludf.DUMMYFUNCTION("""COMPUTED_VALUE"""),100)</f>
        <v>100</v>
      </c>
      <c r="J182" s="8"/>
      <c r="K182" s="8"/>
      <c r="L182" s="8" t="str">
        <f ca="1">IFERROR(__xludf.DUMMYFUNCTION("""COMPUTED_VALUE"""),"Tajfun SK")</f>
        <v>Tajfun SK</v>
      </c>
      <c r="M182" s="16" t="str">
        <f ca="1">IFERROR(__xludf.DUMMYFUNCTION("""COMPUTED_VALUE"""),"SLO")</f>
        <v>SLO</v>
      </c>
      <c r="N182" s="16" t="str">
        <f ca="1">IFERROR(__xludf.DUMMYFUNCTION("""COMPUTED_VALUE"""),"Tonanti")</f>
        <v>Tonanti</v>
      </c>
      <c r="O182" s="8"/>
      <c r="P182" s="8">
        <f ca="1">IFERROR(__xludf.DUMMYFUNCTION("""COMPUTED_VALUE"""),108)</f>
        <v>108</v>
      </c>
      <c r="Q182" s="8">
        <f ca="1">IFERROR(__xludf.DUMMYFUNCTION("""COMPUTED_VALUE"""),8)</f>
        <v>8</v>
      </c>
      <c r="R182" s="8">
        <f ca="1">IFERROR(__xludf.DUMMYFUNCTION("""COMPUTED_VALUE"""),864)</f>
        <v>864</v>
      </c>
      <c r="S182" s="8">
        <f ca="1">IFERROR(__xludf.DUMMYFUNCTION("""COMPUTED_VALUE"""),12.8)</f>
        <v>12.8</v>
      </c>
      <c r="T182" s="8">
        <f ca="1">IFERROR(__xludf.DUMMYFUNCTION("""COMPUTED_VALUE"""),876.8)</f>
        <v>876.8</v>
      </c>
      <c r="U182" s="8"/>
      <c r="V182" s="8"/>
      <c r="W182" s="8"/>
      <c r="X182" s="8"/>
      <c r="Y182" s="8"/>
      <c r="Z182" s="37" t="str">
        <f ca="1">IFERROR(__xludf.DUMMYFUNCTION("""COMPUTED_VALUE"""),"JU 622")</f>
        <v>JU 622</v>
      </c>
      <c r="AA182" s="37" t="str">
        <f ca="1">IFERROR(__xludf.DUMMYFUNCTION("""COMPUTED_VALUE"""),"27/10/2024")</f>
        <v>27/10/2024</v>
      </c>
      <c r="AB182" s="59">
        <f ca="1">IFERROR(__xludf.DUMMYFUNCTION("""COMPUTED_VALUE"""),0.541666666666666)</f>
        <v>0.54166666666666596</v>
      </c>
    </row>
    <row r="183" spans="1:28" ht="14.55" customHeight="1" x14ac:dyDescent="0.3">
      <c r="A183" s="8">
        <v>56</v>
      </c>
      <c r="B183" s="8"/>
      <c r="C183" s="8"/>
      <c r="D183" s="8" t="str">
        <f ca="1">IFERROR(__xludf.DUMMYFUNCTION("""COMPUTED_VALUE"""),"14/08/2024")</f>
        <v>14/08/2024</v>
      </c>
      <c r="E183" s="16" t="str">
        <f ca="1">IFERROR(__xludf.DUMMYFUNCTION("""COMPUTED_VALUE"""),"Player")</f>
        <v>Player</v>
      </c>
      <c r="F183" s="8" t="str">
        <f ca="1">IFERROR(__xludf.DUMMYFUNCTION("""COMPUTED_VALUE"""),"Unuk, Laura")</f>
        <v>Unuk, Laura</v>
      </c>
      <c r="G183" s="8" t="str">
        <f ca="1">IFERROR(__xludf.DUMMYFUNCTION("""COMPUTED_VALUE"""),"SLO")</f>
        <v>SLO</v>
      </c>
      <c r="H183" s="8"/>
      <c r="I183" s="8">
        <f ca="1">IFERROR(__xludf.DUMMYFUNCTION("""COMPUTED_VALUE"""),100)</f>
        <v>100</v>
      </c>
      <c r="J183" s="8"/>
      <c r="K183" s="8"/>
      <c r="L183" s="8" t="str">
        <f ca="1">IFERROR(__xludf.DUMMYFUNCTION("""COMPUTED_VALUE"""),"Tajfun SK")</f>
        <v>Tajfun SK</v>
      </c>
      <c r="M183" s="8" t="str">
        <f ca="1">IFERROR(__xludf.DUMMYFUNCTION("""COMPUTED_VALUE"""),"SLO")</f>
        <v>SLO</v>
      </c>
      <c r="N183" s="16" t="str">
        <f ca="1">IFERROR(__xludf.DUMMYFUNCTION("""COMPUTED_VALUE"""),"Tonanti")</f>
        <v>Tonanti</v>
      </c>
      <c r="O183" s="8" t="str">
        <f ca="1">IFERROR(__xludf.DUMMYFUNCTION("""COMPUTED_VALUE"""),"Single")</f>
        <v>Single</v>
      </c>
      <c r="P183" s="8"/>
      <c r="Q183" s="8">
        <f ca="1">IFERROR(__xludf.DUMMYFUNCTION("""COMPUTED_VALUE"""),8)</f>
        <v>8</v>
      </c>
      <c r="R183" s="8">
        <f ca="1">IFERROR(__xludf.DUMMYFUNCTION("""COMPUTED_VALUE"""),864)</f>
        <v>864</v>
      </c>
      <c r="S183" s="8">
        <f ca="1">IFERROR(__xludf.DUMMYFUNCTION("""COMPUTED_VALUE"""),12.8)</f>
        <v>12.8</v>
      </c>
      <c r="T183" s="8">
        <f ca="1">IFERROR(__xludf.DUMMYFUNCTION("""COMPUTED_VALUE"""),876.8)</f>
        <v>876.8</v>
      </c>
      <c r="U183" s="8"/>
      <c r="V183" s="8"/>
      <c r="W183" s="8"/>
      <c r="X183" s="8"/>
      <c r="Y183" s="8"/>
      <c r="Z183" s="37" t="str">
        <f ca="1">IFERROR(__xludf.DUMMYFUNCTION("""COMPUTED_VALUE"""),"JU 622")</f>
        <v>JU 622</v>
      </c>
      <c r="AA183" s="37" t="str">
        <f ca="1">IFERROR(__xludf.DUMMYFUNCTION("""COMPUTED_VALUE"""),"27/10/2024")</f>
        <v>27/10/2024</v>
      </c>
      <c r="AB183" s="64">
        <f ca="1">IFERROR(__xludf.DUMMYFUNCTION("""COMPUTED_VALUE"""),0.541666666666666)</f>
        <v>0.54166666666666596</v>
      </c>
    </row>
    <row r="184" spans="1:28" ht="14.55" customHeight="1" x14ac:dyDescent="0.3">
      <c r="A184" s="8">
        <v>57</v>
      </c>
      <c r="B184" s="8"/>
      <c r="C184" s="8"/>
      <c r="D184" s="8" t="str">
        <f ca="1">IFERROR(__xludf.DUMMYFUNCTION("""COMPUTED_VALUE"""),"14/08/2024")</f>
        <v>14/08/2024</v>
      </c>
      <c r="E184" s="16" t="str">
        <f ca="1">IFERROR(__xludf.DUMMYFUNCTION("""COMPUTED_VALUE"""),"Player")</f>
        <v>Player</v>
      </c>
      <c r="F184" s="8" t="str">
        <f ca="1">IFERROR(__xludf.DUMMYFUNCTION("""COMPUTED_VALUE"""),"Urh, Zala")</f>
        <v>Urh, Zala</v>
      </c>
      <c r="G184" s="8" t="str">
        <f ca="1">IFERROR(__xludf.DUMMYFUNCTION("""COMPUTED_VALUE"""),"SLO")</f>
        <v>SLO</v>
      </c>
      <c r="H184" s="8"/>
      <c r="I184" s="8">
        <f ca="1">IFERROR(__xludf.DUMMYFUNCTION("""COMPUTED_VALUE"""),100)</f>
        <v>100</v>
      </c>
      <c r="J184" s="8"/>
      <c r="K184" s="8"/>
      <c r="L184" s="8" t="str">
        <f ca="1">IFERROR(__xludf.DUMMYFUNCTION("""COMPUTED_VALUE"""),"Tajfun SK")</f>
        <v>Tajfun SK</v>
      </c>
      <c r="M184" s="8" t="str">
        <f ca="1">IFERROR(__xludf.DUMMYFUNCTION("""COMPUTED_VALUE"""),"SLO")</f>
        <v>SLO</v>
      </c>
      <c r="N184" s="16" t="str">
        <f ca="1">IFERROR(__xludf.DUMMYFUNCTION("""COMPUTED_VALUE"""),"Tonanti")</f>
        <v>Tonanti</v>
      </c>
      <c r="O184" s="8" t="str">
        <f ca="1">IFERROR(__xludf.DUMMYFUNCTION("""COMPUTED_VALUE"""),"Single")</f>
        <v>Single</v>
      </c>
      <c r="P184" s="8"/>
      <c r="Q184" s="8">
        <f ca="1">IFERROR(__xludf.DUMMYFUNCTION("""COMPUTED_VALUE"""),8)</f>
        <v>8</v>
      </c>
      <c r="R184" s="8">
        <f ca="1">IFERROR(__xludf.DUMMYFUNCTION("""COMPUTED_VALUE"""),864)</f>
        <v>864</v>
      </c>
      <c r="S184" s="8">
        <f ca="1">IFERROR(__xludf.DUMMYFUNCTION("""COMPUTED_VALUE"""),12.8)</f>
        <v>12.8</v>
      </c>
      <c r="T184" s="8">
        <f ca="1">IFERROR(__xludf.DUMMYFUNCTION("""COMPUTED_VALUE"""),876.8)</f>
        <v>876.8</v>
      </c>
      <c r="U184" s="8"/>
      <c r="V184" s="8"/>
      <c r="W184" s="8"/>
      <c r="X184" s="8"/>
      <c r="Y184" s="8"/>
      <c r="Z184" s="37" t="str">
        <f ca="1">IFERROR(__xludf.DUMMYFUNCTION("""COMPUTED_VALUE"""),"JU 622")</f>
        <v>JU 622</v>
      </c>
      <c r="AA184" s="37" t="str">
        <f ca="1">IFERROR(__xludf.DUMMYFUNCTION("""COMPUTED_VALUE"""),"27/10/2024")</f>
        <v>27/10/2024</v>
      </c>
      <c r="AB184" s="64">
        <f ca="1">IFERROR(__xludf.DUMMYFUNCTION("""COMPUTED_VALUE"""),0.541666666666666)</f>
        <v>0.54166666666666596</v>
      </c>
    </row>
    <row r="185" spans="1:28" ht="14.55" customHeight="1" x14ac:dyDescent="0.3">
      <c r="A185" s="8">
        <v>58</v>
      </c>
      <c r="B185" s="8"/>
      <c r="C185" s="8"/>
      <c r="D185" s="8" t="str">
        <f ca="1">IFERROR(__xludf.DUMMYFUNCTION("""COMPUTED_VALUE"""),"19/08/2024")</f>
        <v>19/08/2024</v>
      </c>
      <c r="E185" s="16" t="str">
        <f ca="1">IFERROR(__xludf.DUMMYFUNCTION("""COMPUTED_VALUE"""),"Player")</f>
        <v>Player</v>
      </c>
      <c r="F185" s="8" t="str">
        <f ca="1">IFERROR(__xludf.DUMMYFUNCTION("""COMPUTED_VALUE"""),"Subelj, Jan")</f>
        <v>Subelj, Jan</v>
      </c>
      <c r="G185" s="16" t="str">
        <f ca="1">IFERROR(__xludf.DUMMYFUNCTION("""COMPUTED_VALUE"""),"SLO")</f>
        <v>SLO</v>
      </c>
      <c r="H185" s="8"/>
      <c r="I185" s="8">
        <f ca="1">IFERROR(__xludf.DUMMYFUNCTION("""COMPUTED_VALUE"""),100)</f>
        <v>100</v>
      </c>
      <c r="J185" s="8"/>
      <c r="K185" s="8"/>
      <c r="L185" s="8" t="str">
        <f ca="1">IFERROR(__xludf.DUMMYFUNCTION("""COMPUTED_VALUE"""),"Zmaj")</f>
        <v>Zmaj</v>
      </c>
      <c r="M185" s="16" t="str">
        <f ca="1">IFERROR(__xludf.DUMMYFUNCTION("""COMPUTED_VALUE"""),"SRB")</f>
        <v>SRB</v>
      </c>
      <c r="N185" s="16" t="str">
        <f ca="1">IFERROR(__xludf.DUMMYFUNCTION("""COMPUTED_VALUE"""),"Terme")</f>
        <v>Terme</v>
      </c>
      <c r="O185" s="8"/>
      <c r="P185" s="8"/>
      <c r="Q185" s="8">
        <f ca="1">IFERROR(__xludf.DUMMYFUNCTION("""COMPUTED_VALUE"""),8)</f>
        <v>8</v>
      </c>
      <c r="R185" s="8">
        <f ca="1">IFERROR(__xludf.DUMMYFUNCTION("""COMPUTED_VALUE"""),0)</f>
        <v>0</v>
      </c>
      <c r="S185" s="8">
        <f ca="1">IFERROR(__xludf.DUMMYFUNCTION("""COMPUTED_VALUE"""),12.8)</f>
        <v>12.8</v>
      </c>
      <c r="T185" s="8">
        <f ca="1">IFERROR(__xludf.DUMMYFUNCTION("""COMPUTED_VALUE"""),12.8)</f>
        <v>12.8</v>
      </c>
      <c r="U185" s="8"/>
      <c r="V185" s="8"/>
      <c r="W185" s="8"/>
      <c r="X185" s="8"/>
      <c r="Y185" s="8"/>
      <c r="Z185" s="37" t="str">
        <f ca="1">IFERROR(__xludf.DUMMYFUNCTION("""COMPUTED_VALUE"""),"JU 622")</f>
        <v>JU 622</v>
      </c>
      <c r="AA185" s="37" t="str">
        <f ca="1">IFERROR(__xludf.DUMMYFUNCTION("""COMPUTED_VALUE"""),"27/10/2024")</f>
        <v>27/10/2024</v>
      </c>
      <c r="AB185" s="59">
        <f ca="1">IFERROR(__xludf.DUMMYFUNCTION("""COMPUTED_VALUE"""),0.541666666666666)</f>
        <v>0.54166666666666596</v>
      </c>
    </row>
    <row r="186" spans="1:28" ht="14.55" customHeight="1" x14ac:dyDescent="0.3">
      <c r="A186" s="8">
        <v>59</v>
      </c>
      <c r="B186" s="8"/>
      <c r="C186" s="8"/>
      <c r="D186" s="8" t="str">
        <f ca="1">IFERROR(__xludf.DUMMYFUNCTION("""COMPUTED_VALUE"""),"29/07/2024")</f>
        <v>29/07/2024</v>
      </c>
      <c r="E186" s="16" t="str">
        <f ca="1">IFERROR(__xludf.DUMMYFUNCTION("""COMPUTED_VALUE"""),"Player")</f>
        <v>Player</v>
      </c>
      <c r="F186" s="8" t="s">
        <v>56</v>
      </c>
      <c r="G186" s="16" t="str">
        <f ca="1">IFERROR(__xludf.DUMMYFUNCTION("""COMPUTED_VALUE"""),"AUT")</f>
        <v>AUT</v>
      </c>
      <c r="H186" s="8"/>
      <c r="I186" s="8">
        <f ca="1">IFERROR(__xludf.DUMMYFUNCTION("""COMPUTED_VALUE"""),100)</f>
        <v>100</v>
      </c>
      <c r="J186" s="8"/>
      <c r="K186" s="8"/>
      <c r="L186" s="8" t="str">
        <f ca="1">IFERROR(__xludf.DUMMYFUNCTION("""COMPUTED_VALUE"""),"Perfect")</f>
        <v>Perfect</v>
      </c>
      <c r="M186" s="16" t="str">
        <f ca="1">IFERROR(__xludf.DUMMYFUNCTION("""COMPUTED_VALUE"""),"MDA")</f>
        <v>MDA</v>
      </c>
      <c r="N186" s="16" t="str">
        <f ca="1">IFERROR(__xludf.DUMMYFUNCTION("""COMPUTED_VALUE"""),"Fontana")</f>
        <v>Fontana</v>
      </c>
      <c r="O186" s="8"/>
      <c r="P186" s="8">
        <f ca="1">IFERROR(__xludf.DUMMYFUNCTION("""COMPUTED_VALUE"""),104)</f>
        <v>104</v>
      </c>
      <c r="Q186" s="8">
        <f ca="1">IFERROR(__xludf.DUMMYFUNCTION("""COMPUTED_VALUE"""),8)</f>
        <v>8</v>
      </c>
      <c r="R186" s="8">
        <f ca="1">IFERROR(__xludf.DUMMYFUNCTION("""COMPUTED_VALUE"""),832)</f>
        <v>832</v>
      </c>
      <c r="S186" s="8">
        <f ca="1">IFERROR(__xludf.DUMMYFUNCTION("""COMPUTED_VALUE"""),12.8)</f>
        <v>12.8</v>
      </c>
      <c r="T186" s="8">
        <f ca="1">IFERROR(__xludf.DUMMYFUNCTION("""COMPUTED_VALUE"""),844.8)</f>
        <v>844.8</v>
      </c>
      <c r="U186" s="8"/>
      <c r="V186" s="8"/>
      <c r="W186" s="8"/>
      <c r="X186" s="8"/>
      <c r="Y186" s="8"/>
      <c r="Z186" s="37" t="s">
        <v>1</v>
      </c>
      <c r="AA186" s="37" t="str">
        <f ca="1">IFERROR(__xludf.DUMMYFUNCTION("""COMPUTED_VALUE"""),"27/10/2024")</f>
        <v>27/10/2024</v>
      </c>
      <c r="AB186" s="64">
        <v>0.54166666666666663</v>
      </c>
    </row>
    <row r="187" spans="1:28" ht="14.55" customHeight="1" x14ac:dyDescent="0.3">
      <c r="A187" s="8">
        <v>60</v>
      </c>
      <c r="B187" s="8"/>
      <c r="C187" s="8"/>
      <c r="D187" s="8" t="str">
        <f ca="1">IFERROR(__xludf.DUMMYFUNCTION("""COMPUTED_VALUE"""),"26/07/2024")</f>
        <v>26/07/2024</v>
      </c>
      <c r="E187" s="16" t="str">
        <f ca="1">IFERROR(__xludf.DUMMYFUNCTION("""COMPUTED_VALUE"""),"Player")</f>
        <v>Player</v>
      </c>
      <c r="F187" s="8" t="str">
        <f ca="1">IFERROR(__xludf.DUMMYFUNCTION("""COMPUTED_VALUE"""),"Zedlmayer, Leon")</f>
        <v>Zedlmayer, Leon</v>
      </c>
      <c r="G187" s="16" t="str">
        <f ca="1">IFERROR(__xludf.DUMMYFUNCTION("""COMPUTED_VALUE"""),"WLS")</f>
        <v>WLS</v>
      </c>
      <c r="H187" s="8"/>
      <c r="I187" s="8">
        <f ca="1">IFERROR(__xludf.DUMMYFUNCTION("""COMPUTED_VALUE"""),100)</f>
        <v>100</v>
      </c>
      <c r="J187" s="8"/>
      <c r="K187" s="8"/>
      <c r="L187" s="8" t="str">
        <f ca="1">IFERROR(__xludf.DUMMYFUNCTION("""COMPUTED_VALUE"""),"Cardiff Chess Club")</f>
        <v>Cardiff Chess Club</v>
      </c>
      <c r="M187" s="16" t="str">
        <f ca="1">IFERROR(__xludf.DUMMYFUNCTION("""COMPUTED_VALUE"""),"WLS")</f>
        <v>WLS</v>
      </c>
      <c r="N187" s="16" t="str">
        <f ca="1">IFERROR(__xludf.DUMMYFUNCTION("""COMPUTED_VALUE"""),"Zepter")</f>
        <v>Zepter</v>
      </c>
      <c r="O187" s="8" t="str">
        <f ca="1">IFERROR(__xludf.DUMMYFUNCTION("""COMPUTED_VALUE"""),"Joe")</f>
        <v>Joe</v>
      </c>
      <c r="P187" s="8">
        <f ca="1">IFERROR(__xludf.DUMMYFUNCTION("""COMPUTED_VALUE"""),82)</f>
        <v>82</v>
      </c>
      <c r="Q187" s="8">
        <f ca="1">IFERROR(__xludf.DUMMYFUNCTION("""COMPUTED_VALUE"""),5)</f>
        <v>5</v>
      </c>
      <c r="R187" s="8">
        <f ca="1">IFERROR(__xludf.DUMMYFUNCTION("""COMPUTED_VALUE"""),410)</f>
        <v>410</v>
      </c>
      <c r="S187" s="8">
        <f ca="1">IFERROR(__xludf.DUMMYFUNCTION("""COMPUTED_VALUE"""),8)</f>
        <v>8</v>
      </c>
      <c r="T187" s="8">
        <f ca="1">IFERROR(__xludf.DUMMYFUNCTION("""COMPUTED_VALUE"""),418)</f>
        <v>418</v>
      </c>
      <c r="U187" s="8"/>
      <c r="V187" s="8"/>
      <c r="W187" s="8"/>
      <c r="X187" s="8"/>
      <c r="Y187" s="8"/>
      <c r="Z187" s="37" t="str">
        <f ca="1">IFERROR(__xludf.DUMMYFUNCTION("""COMPUTED_VALUE"""),"LH1735")</f>
        <v>LH1735</v>
      </c>
      <c r="AA187" s="37" t="str">
        <f ca="1">IFERROR(__xludf.DUMMYFUNCTION("""COMPUTED_VALUE"""),"25/10/2024")</f>
        <v>25/10/2024</v>
      </c>
      <c r="AB187" s="64">
        <f ca="1">IFERROR(__xludf.DUMMYFUNCTION("""COMPUTED_VALUE"""),0.545138888888888)</f>
        <v>0.54513888888888795</v>
      </c>
    </row>
    <row r="188" spans="1:28" ht="14.55" customHeight="1" x14ac:dyDescent="0.3">
      <c r="A188" s="8">
        <v>61</v>
      </c>
      <c r="B188" s="8"/>
      <c r="C188" s="8"/>
      <c r="D188" s="8" t="str">
        <f ca="1">IFERROR(__xludf.DUMMYFUNCTION("""COMPUTED_VALUE"""),"13/08/2024")</f>
        <v>13/08/2024</v>
      </c>
      <c r="E188" s="16" t="str">
        <f ca="1">IFERROR(__xludf.DUMMYFUNCTION("""COMPUTED_VALUE"""),"Player")</f>
        <v>Player</v>
      </c>
      <c r="F188" s="8" t="str">
        <f ca="1">IFERROR(__xludf.DUMMYFUNCTION("""COMPUTED_VALUE"""),"Galopoulos, Nikolaos")</f>
        <v>Galopoulos, Nikolaos</v>
      </c>
      <c r="G188" s="16" t="str">
        <f ca="1">IFERROR(__xludf.DUMMYFUNCTION("""COMPUTED_VALUE"""),"GRE")</f>
        <v>GRE</v>
      </c>
      <c r="H188" s="8"/>
      <c r="I188" s="8">
        <f ca="1">IFERROR(__xludf.DUMMYFUNCTION("""COMPUTED_VALUE"""),100)</f>
        <v>100</v>
      </c>
      <c r="J188" s="8"/>
      <c r="K188" s="8"/>
      <c r="L188" s="8" t="str">
        <f ca="1">IFERROR(__xludf.DUMMYFUNCTION("""COMPUTED_VALUE"""),"Kavala Chess Club")</f>
        <v>Kavala Chess Club</v>
      </c>
      <c r="M188" s="16" t="str">
        <f ca="1">IFERROR(__xludf.DUMMYFUNCTION("""COMPUTED_VALUE"""),"GRE")</f>
        <v>GRE</v>
      </c>
      <c r="N188" s="16" t="str">
        <f ca="1">IFERROR(__xludf.DUMMYFUNCTION("""COMPUTED_VALUE"""),"Zepter")</f>
        <v>Zepter</v>
      </c>
      <c r="O188" s="8" t="str">
        <f ca="1">IFERROR(__xludf.DUMMYFUNCTION("""COMPUTED_VALUE"""),"PAVLIDIS")</f>
        <v>PAVLIDIS</v>
      </c>
      <c r="P188" s="8">
        <f ca="1">IFERROR(__xludf.DUMMYFUNCTION("""COMPUTED_VALUE"""),82)</f>
        <v>82</v>
      </c>
      <c r="Q188" s="8">
        <f ca="1">IFERROR(__xludf.DUMMYFUNCTION("""COMPUTED_VALUE"""),8)</f>
        <v>8</v>
      </c>
      <c r="R188" s="8">
        <f ca="1">IFERROR(__xludf.DUMMYFUNCTION("""COMPUTED_VALUE"""),656)</f>
        <v>656</v>
      </c>
      <c r="S188" s="8">
        <f ca="1">IFERROR(__xludf.DUMMYFUNCTION("""COMPUTED_VALUE"""),12.8)</f>
        <v>12.8</v>
      </c>
      <c r="T188" s="8">
        <f ca="1">IFERROR(__xludf.DUMMYFUNCTION("""COMPUTED_VALUE"""),668.8)</f>
        <v>668.8</v>
      </c>
      <c r="U188" s="8"/>
      <c r="V188" s="8"/>
      <c r="W188" s="8"/>
      <c r="X188" s="8"/>
      <c r="Y188" s="8"/>
      <c r="Z188" s="37" t="str">
        <f ca="1">IFERROR(__xludf.DUMMYFUNCTION("""COMPUTED_VALUE"""),"JU542")</f>
        <v>JU542</v>
      </c>
      <c r="AA188" s="37" t="str">
        <f ca="1">IFERROR(__xludf.DUMMYFUNCTION("""COMPUTED_VALUE"""),"27/10/2024")</f>
        <v>27/10/2024</v>
      </c>
      <c r="AB188" s="59">
        <f ca="1">IFERROR(__xludf.DUMMYFUNCTION("""COMPUTED_VALUE"""),0.545138888888888)</f>
        <v>0.54513888888888795</v>
      </c>
    </row>
    <row r="189" spans="1:28" ht="14.55" customHeight="1" x14ac:dyDescent="0.3">
      <c r="A189" s="8">
        <v>62</v>
      </c>
      <c r="B189" s="8"/>
      <c r="C189" s="8"/>
      <c r="D189" s="13">
        <f ca="1">IFERROR(__xludf.DUMMYFUNCTION("""COMPUTED_VALUE"""),45329)</f>
        <v>45329</v>
      </c>
      <c r="E189" s="16" t="str">
        <f ca="1">IFERROR(__xludf.DUMMYFUNCTION("""COMPUTED_VALUE"""),"Player")</f>
        <v>Player</v>
      </c>
      <c r="F189" s="8" t="str">
        <f ca="1">IFERROR(__xludf.DUMMYFUNCTION("""COMPUTED_VALUE"""),"Jakobsen, Peter")</f>
        <v>Jakobsen, Peter</v>
      </c>
      <c r="G189" s="16" t="str">
        <f ca="1">IFERROR(__xludf.DUMMYFUNCTION("""COMPUTED_VALUE"""),"DEN")</f>
        <v>DEN</v>
      </c>
      <c r="H189" s="8"/>
      <c r="I189" s="8">
        <f ca="1">IFERROR(__xludf.DUMMYFUNCTION("""COMPUTED_VALUE"""),100)</f>
        <v>100</v>
      </c>
      <c r="J189" s="8"/>
      <c r="K189" s="8"/>
      <c r="L189" s="8" t="str">
        <f ca="1">IFERROR(__xludf.DUMMYFUNCTION("""COMPUTED_VALUE"""),"Skakklubben Nordkalotten")</f>
        <v>Skakklubben Nordkalotten</v>
      </c>
      <c r="M189" s="16" t="str">
        <f ca="1">IFERROR(__xludf.DUMMYFUNCTION("""COMPUTED_VALUE"""),"DEN")</f>
        <v>DEN</v>
      </c>
      <c r="N189" s="16" t="str">
        <f ca="1">IFERROR(__xludf.DUMMYFUNCTION("""COMPUTED_VALUE"""),"Fontana")</f>
        <v>Fontana</v>
      </c>
      <c r="O189" s="8"/>
      <c r="P189" s="8">
        <f ca="1">IFERROR(__xludf.DUMMYFUNCTION("""COMPUTED_VALUE"""),104)</f>
        <v>104</v>
      </c>
      <c r="Q189" s="8">
        <f ca="1">IFERROR(__xludf.DUMMYFUNCTION("""COMPUTED_VALUE"""),7)</f>
        <v>7</v>
      </c>
      <c r="R189" s="8">
        <f ca="1">IFERROR(__xludf.DUMMYFUNCTION("""COMPUTED_VALUE"""),728)</f>
        <v>728</v>
      </c>
      <c r="S189" s="8">
        <f ca="1">IFERROR(__xludf.DUMMYFUNCTION("""COMPUTED_VALUE"""),11.2)</f>
        <v>11.2</v>
      </c>
      <c r="T189" s="8">
        <f ca="1">IFERROR(__xludf.DUMMYFUNCTION("""COMPUTED_VALUE"""),739.2)</f>
        <v>739.2</v>
      </c>
      <c r="U189" s="8"/>
      <c r="V189" s="8"/>
      <c r="W189" s="8"/>
      <c r="X189" s="8"/>
      <c r="Y189" s="8"/>
      <c r="Z189" s="37" t="str">
        <f ca="1">IFERROR(__xludf.DUMMYFUNCTION("""COMPUTED_VALUE"""),"LH173")</f>
        <v>LH173</v>
      </c>
      <c r="AA189" s="37" t="str">
        <f ca="1">IFERROR(__xludf.DUMMYFUNCTION("""COMPUTED_VALUE"""),"26/10/2024")</f>
        <v>26/10/2024</v>
      </c>
      <c r="AB189" s="64">
        <f ca="1">IFERROR(__xludf.DUMMYFUNCTION("""COMPUTED_VALUE"""),0.545138888888888)</f>
        <v>0.54513888888888795</v>
      </c>
    </row>
    <row r="190" spans="1:28" ht="14.55" customHeight="1" x14ac:dyDescent="0.3">
      <c r="A190" s="8">
        <v>63</v>
      </c>
      <c r="B190" s="8"/>
      <c r="C190" s="8"/>
      <c r="D190" s="8" t="str">
        <f ca="1">IFERROR(__xludf.DUMMYFUNCTION("""COMPUTED_VALUE"""),"29/07/2024")</f>
        <v>29/07/2024</v>
      </c>
      <c r="E190" s="16" t="str">
        <f ca="1">IFERROR(__xludf.DUMMYFUNCTION("""COMPUTED_VALUE"""),"Player")</f>
        <v>Player</v>
      </c>
      <c r="F190" s="8" t="str">
        <f ca="1">IFERROR(__xludf.DUMMYFUNCTION("""COMPUTED_VALUE"""),"Slavin, Gennadie")</f>
        <v>Slavin, Gennadie</v>
      </c>
      <c r="G190" s="16" t="str">
        <f ca="1">IFERROR(__xludf.DUMMYFUNCTION("""COMPUTED_VALUE"""),"USA")</f>
        <v>USA</v>
      </c>
      <c r="H190" s="8"/>
      <c r="I190" s="8">
        <f ca="1">IFERROR(__xludf.DUMMYFUNCTION("""COMPUTED_VALUE"""),100)</f>
        <v>100</v>
      </c>
      <c r="J190" s="8"/>
      <c r="K190" s="8"/>
      <c r="L190" s="8" t="str">
        <f ca="1">IFERROR(__xludf.DUMMYFUNCTION("""COMPUTED_VALUE"""),"Perfect")</f>
        <v>Perfect</v>
      </c>
      <c r="M190" s="16" t="str">
        <f ca="1">IFERROR(__xludf.DUMMYFUNCTION("""COMPUTED_VALUE"""),"MDA")</f>
        <v>MDA</v>
      </c>
      <c r="N190" s="16" t="str">
        <f ca="1">IFERROR(__xludf.DUMMYFUNCTION("""COMPUTED_VALUE"""),"Fontana")</f>
        <v>Fontana</v>
      </c>
      <c r="O190" s="8"/>
      <c r="P190" s="8">
        <f ca="1">IFERROR(__xludf.DUMMYFUNCTION("""COMPUTED_VALUE"""),104)</f>
        <v>104</v>
      </c>
      <c r="Q190" s="8">
        <f ca="1">IFERROR(__xludf.DUMMYFUNCTION("""COMPUTED_VALUE"""),8)</f>
        <v>8</v>
      </c>
      <c r="R190" s="8">
        <f ca="1">IFERROR(__xludf.DUMMYFUNCTION("""COMPUTED_VALUE"""),832)</f>
        <v>832</v>
      </c>
      <c r="S190" s="8">
        <f ca="1">IFERROR(__xludf.DUMMYFUNCTION("""COMPUTED_VALUE"""),12.8)</f>
        <v>12.8</v>
      </c>
      <c r="T190" s="8">
        <f ca="1">IFERROR(__xludf.DUMMYFUNCTION("""COMPUTED_VALUE"""),844.8)</f>
        <v>844.8</v>
      </c>
      <c r="U190" s="8"/>
      <c r="V190" s="8"/>
      <c r="W190" s="8"/>
      <c r="X190" s="8"/>
      <c r="Y190" s="8"/>
      <c r="Z190" s="37" t="s">
        <v>1</v>
      </c>
      <c r="AA190" s="37" t="str">
        <f ca="1">IFERROR(__xludf.DUMMYFUNCTION("""COMPUTED_VALUE"""),"27/10/2024")</f>
        <v>27/10/2024</v>
      </c>
      <c r="AB190" s="64">
        <f ca="1">IFERROR(__xludf.DUMMYFUNCTION("""COMPUTED_VALUE"""),0.548611111111111)</f>
        <v>0.54861111111111105</v>
      </c>
    </row>
    <row r="191" spans="1:28" ht="14.55" customHeight="1" x14ac:dyDescent="0.3">
      <c r="A191" s="8">
        <v>64</v>
      </c>
      <c r="B191" s="8"/>
      <c r="C191" s="8"/>
      <c r="D191" s="8" t="str">
        <f ca="1">IFERROR(__xludf.DUMMYFUNCTION("""COMPUTED_VALUE"""),"29/07/2024")</f>
        <v>29/07/2024</v>
      </c>
      <c r="E191" s="16" t="s">
        <v>0</v>
      </c>
      <c r="F191" s="8" t="str">
        <f ca="1">IFERROR(__xludf.DUMMYFUNCTION("""COMPUTED_VALUE"""),"Tobiash, Anatoly")</f>
        <v>Tobiash, Anatoly</v>
      </c>
      <c r="G191" s="16"/>
      <c r="H191" s="8"/>
      <c r="I191" s="8">
        <f ca="1">IFERROR(__xludf.DUMMYFUNCTION("""COMPUTED_VALUE"""),100)</f>
        <v>100</v>
      </c>
      <c r="J191" s="8"/>
      <c r="K191" s="8"/>
      <c r="L191" s="8" t="str">
        <f ca="1">IFERROR(__xludf.DUMMYFUNCTION("""COMPUTED_VALUE"""),"Perfect")</f>
        <v>Perfect</v>
      </c>
      <c r="M191" s="16" t="str">
        <f ca="1">IFERROR(__xludf.DUMMYFUNCTION("""COMPUTED_VALUE"""),"MDA")</f>
        <v>MDA</v>
      </c>
      <c r="N191" s="16" t="str">
        <f ca="1">IFERROR(__xludf.DUMMYFUNCTION("""COMPUTED_VALUE"""),"Fontana")</f>
        <v>Fontana</v>
      </c>
      <c r="O191" s="8"/>
      <c r="P191" s="8">
        <f ca="1">IFERROR(__xludf.DUMMYFUNCTION("""COMPUTED_VALUE"""),104)</f>
        <v>104</v>
      </c>
      <c r="Q191" s="8">
        <f ca="1">IFERROR(__xludf.DUMMYFUNCTION("""COMPUTED_VALUE"""),4)</f>
        <v>4</v>
      </c>
      <c r="R191" s="8">
        <f ca="1">IFERROR(__xludf.DUMMYFUNCTION("""COMPUTED_VALUE"""),416)</f>
        <v>416</v>
      </c>
      <c r="S191" s="8">
        <f ca="1">IFERROR(__xludf.DUMMYFUNCTION("""COMPUTED_VALUE"""),6.4)</f>
        <v>6.4</v>
      </c>
      <c r="T191" s="8">
        <f ca="1">IFERROR(__xludf.DUMMYFUNCTION("""COMPUTED_VALUE"""),422.4)</f>
        <v>422.4</v>
      </c>
      <c r="U191" s="8"/>
      <c r="V191" s="8"/>
      <c r="W191" s="8"/>
      <c r="X191" s="8"/>
      <c r="Y191" s="8"/>
      <c r="Z191" s="37" t="s">
        <v>1</v>
      </c>
      <c r="AA191" s="37" t="str">
        <f ca="1">IFERROR(__xludf.DUMMYFUNCTION("""COMPUTED_VALUE"""),"27/10/2024")</f>
        <v>27/10/2024</v>
      </c>
      <c r="AB191" s="64">
        <f ca="1">IFERROR(__xludf.DUMMYFUNCTION("""COMPUTED_VALUE"""),0.548611111111111)</f>
        <v>0.54861111111111105</v>
      </c>
    </row>
    <row r="192" spans="1:28" ht="14.55" customHeight="1" x14ac:dyDescent="0.3">
      <c r="A192" s="8">
        <v>65</v>
      </c>
      <c r="B192" s="8"/>
      <c r="C192" s="8"/>
      <c r="D192" s="8" t="str">
        <f ca="1">IFERROR(__xludf.DUMMYFUNCTION("""COMPUTED_VALUE"""),"23/08/2024")</f>
        <v>23/08/2024</v>
      </c>
      <c r="E192" s="16" t="str">
        <f ca="1">IFERROR(__xludf.DUMMYFUNCTION("""COMPUTED_VALUE"""),"Player")</f>
        <v>Player</v>
      </c>
      <c r="F192" s="8" t="str">
        <f ca="1">IFERROR(__xludf.DUMMYFUNCTION("""COMPUTED_VALUE"""),"Rakhmangulova, Anastasiya")</f>
        <v>Rakhmangulova, Anastasiya</v>
      </c>
      <c r="G192" s="8" t="str">
        <f ca="1">IFERROR(__xludf.DUMMYFUNCTION("""COMPUTED_VALUE"""),"UKR")</f>
        <v>UKR</v>
      </c>
      <c r="H192" s="8"/>
      <c r="I192" s="8">
        <f ca="1">IFERROR(__xludf.DUMMYFUNCTION("""COMPUTED_VALUE"""),100)</f>
        <v>100</v>
      </c>
      <c r="J192" s="8"/>
      <c r="K192" s="8"/>
      <c r="L192" s="8" t="str">
        <f ca="1">IFERROR(__xludf.DUMMYFUNCTION("""COMPUTED_VALUE"""),"SK JAVES Modra")</f>
        <v>SK JAVES Modra</v>
      </c>
      <c r="M192" s="8" t="str">
        <f ca="1">IFERROR(__xludf.DUMMYFUNCTION("""COMPUTED_VALUE"""),"SVK")</f>
        <v>SVK</v>
      </c>
      <c r="N192" s="16" t="str">
        <f ca="1">IFERROR(__xludf.DUMMYFUNCTION("""COMPUTED_VALUE"""),"Zepter")</f>
        <v>Zepter</v>
      </c>
      <c r="O192" s="8" t="str">
        <f ca="1">IFERROR(__xludf.DUMMYFUNCTION("""COMPUTED_VALUE"""),"Double")</f>
        <v>Double</v>
      </c>
      <c r="P192" s="8"/>
      <c r="Q192" s="8">
        <f ca="1">IFERROR(__xludf.DUMMYFUNCTION("""COMPUTED_VALUE"""),7)</f>
        <v>7</v>
      </c>
      <c r="R192" s="8">
        <f ca="1">IFERROR(__xludf.DUMMYFUNCTION("""COMPUTED_VALUE"""),0)</f>
        <v>0</v>
      </c>
      <c r="S192" s="8">
        <f ca="1">IFERROR(__xludf.DUMMYFUNCTION("""COMPUTED_VALUE"""),11.2)</f>
        <v>11.2</v>
      </c>
      <c r="T192" s="8">
        <f ca="1">IFERROR(__xludf.DUMMYFUNCTION("""COMPUTED_VALUE"""),11.2)</f>
        <v>11.2</v>
      </c>
      <c r="U192" s="8"/>
      <c r="V192" s="8"/>
      <c r="W192" s="8"/>
      <c r="X192" s="8"/>
      <c r="Y192" s="8"/>
      <c r="Z192" s="37" t="str">
        <f ca="1">IFERROR(__xludf.DUMMYFUNCTION("""COMPUTED_VALUE"""),"JU 102")</f>
        <v>JU 102</v>
      </c>
      <c r="AA192" s="37" t="str">
        <f ca="1">IFERROR(__xludf.DUMMYFUNCTION("""COMPUTED_VALUE"""),"27/10/2024")</f>
        <v>27/10/2024</v>
      </c>
      <c r="AB192" s="64">
        <f ca="1">IFERROR(__xludf.DUMMYFUNCTION("""COMPUTED_VALUE"""),0.548611111111111)</f>
        <v>0.54861111111111105</v>
      </c>
    </row>
    <row r="193" spans="1:28" ht="14.55" customHeight="1" x14ac:dyDescent="0.3">
      <c r="A193" s="8">
        <v>66</v>
      </c>
      <c r="B193" s="8"/>
      <c r="C193" s="8"/>
      <c r="D193" s="8" t="str">
        <f ca="1">IFERROR(__xludf.DUMMYFUNCTION("""COMPUTED_VALUE"""),"28/08/2024")</f>
        <v>28/08/2024</v>
      </c>
      <c r="E193" s="16" t="str">
        <f ca="1">IFERROR(__xludf.DUMMYFUNCTION("""COMPUTED_VALUE"""),"Player")</f>
        <v>Player</v>
      </c>
      <c r="F193" s="8" t="str">
        <f ca="1">IFERROR(__xludf.DUMMYFUNCTION("""COMPUTED_VALUE"""),"Deac, Bogdan-Daniel")</f>
        <v>Deac, Bogdan-Daniel</v>
      </c>
      <c r="G193" s="16" t="str">
        <f ca="1">IFERROR(__xludf.DUMMYFUNCTION("""COMPUTED_VALUE"""),"ROU")</f>
        <v>ROU</v>
      </c>
      <c r="H193" s="8"/>
      <c r="I193" s="8">
        <f ca="1">IFERROR(__xludf.DUMMYFUNCTION("""COMPUTED_VALUE"""),100)</f>
        <v>100</v>
      </c>
      <c r="J193" s="8"/>
      <c r="K193" s="8"/>
      <c r="L193" s="8" t="str">
        <f ca="1">IFERROR(__xludf.DUMMYFUNCTION("""COMPUTED_VALUE"""),"SuperChess")</f>
        <v>SuperChess</v>
      </c>
      <c r="M193" s="16" t="str">
        <f ca="1">IFERROR(__xludf.DUMMYFUNCTION("""COMPUTED_VALUE"""),"ROU")</f>
        <v>ROU</v>
      </c>
      <c r="N193" s="16" t="str">
        <f ca="1">IFERROR(__xludf.DUMMYFUNCTION("""COMPUTED_VALUE"""),"Kocka")</f>
        <v>Kocka</v>
      </c>
      <c r="O193" s="8" t="str">
        <f ca="1">IFERROR(__xludf.DUMMYFUNCTION("""COMPUTED_VALUE"""),"Maria Deac")</f>
        <v>Maria Deac</v>
      </c>
      <c r="P193" s="8">
        <f ca="1">IFERROR(__xludf.DUMMYFUNCTION("""COMPUTED_VALUE"""),84)</f>
        <v>84</v>
      </c>
      <c r="Q193" s="8">
        <f ca="1">IFERROR(__xludf.DUMMYFUNCTION("""COMPUTED_VALUE"""),8)</f>
        <v>8</v>
      </c>
      <c r="R193" s="8">
        <f ca="1">IFERROR(__xludf.DUMMYFUNCTION("""COMPUTED_VALUE"""),672)</f>
        <v>672</v>
      </c>
      <c r="S193" s="8">
        <f ca="1">IFERROR(__xludf.DUMMYFUNCTION("""COMPUTED_VALUE"""),12.8)</f>
        <v>12.8</v>
      </c>
      <c r="T193" s="8">
        <f ca="1">IFERROR(__xludf.DUMMYFUNCTION("""COMPUTED_VALUE"""),684.8)</f>
        <v>684.8</v>
      </c>
      <c r="U193" s="8"/>
      <c r="V193" s="8"/>
      <c r="W193" s="8"/>
      <c r="X193" s="8"/>
      <c r="Y193" s="8"/>
      <c r="Z193" s="37" t="str">
        <f ca="1">IFERROR(__xludf.DUMMYFUNCTION("""COMPUTED_VALUE"""),"JU 102")</f>
        <v>JU 102</v>
      </c>
      <c r="AA193" s="37" t="str">
        <f ca="1">IFERROR(__xludf.DUMMYFUNCTION("""COMPUTED_VALUE"""),"27/10/2024")</f>
        <v>27/10/2024</v>
      </c>
      <c r="AB193" s="59">
        <f ca="1">IFERROR(__xludf.DUMMYFUNCTION("""COMPUTED_VALUE"""),0.548611111111111)</f>
        <v>0.54861111111111105</v>
      </c>
    </row>
    <row r="194" spans="1:28" ht="14.55" customHeight="1" x14ac:dyDescent="0.3">
      <c r="A194" s="8">
        <v>67</v>
      </c>
      <c r="B194" s="8"/>
      <c r="C194" s="8"/>
      <c r="D194" s="8" t="str">
        <f ca="1">IFERROR(__xludf.DUMMYFUNCTION("""COMPUTED_VALUE"""),"28/08/2024")</f>
        <v>28/08/2024</v>
      </c>
      <c r="E194" s="16" t="str">
        <f ca="1">IFERROR(__xludf.DUMMYFUNCTION("""COMPUTED_VALUE"""),"Player")</f>
        <v>Player</v>
      </c>
      <c r="F194" s="8" t="str">
        <f ca="1">IFERROR(__xludf.DUMMYFUNCTION("""COMPUTED_VALUE"""),"Shevchenko, Kirill")</f>
        <v>Shevchenko, Kirill</v>
      </c>
      <c r="G194" s="16" t="str">
        <f ca="1">IFERROR(__xludf.DUMMYFUNCTION("""COMPUTED_VALUE"""),"ROU")</f>
        <v>ROU</v>
      </c>
      <c r="H194" s="8"/>
      <c r="I194" s="8">
        <f ca="1">IFERROR(__xludf.DUMMYFUNCTION("""COMPUTED_VALUE"""),100)</f>
        <v>100</v>
      </c>
      <c r="J194" s="8"/>
      <c r="K194" s="8"/>
      <c r="L194" s="8" t="str">
        <f ca="1">IFERROR(__xludf.DUMMYFUNCTION("""COMPUTED_VALUE"""),"SuperChess")</f>
        <v>SuperChess</v>
      </c>
      <c r="M194" s="16" t="str">
        <f ca="1">IFERROR(__xludf.DUMMYFUNCTION("""COMPUTED_VALUE"""),"ROU")</f>
        <v>ROU</v>
      </c>
      <c r="N194" s="16" t="str">
        <f ca="1">IFERROR(__xludf.DUMMYFUNCTION("""COMPUTED_VALUE"""),"Kocka")</f>
        <v>Kocka</v>
      </c>
      <c r="O194" s="8"/>
      <c r="P194" s="8">
        <f ca="1">IFERROR(__xludf.DUMMYFUNCTION("""COMPUTED_VALUE"""),104)</f>
        <v>104</v>
      </c>
      <c r="Q194" s="8">
        <f ca="1">IFERROR(__xludf.DUMMYFUNCTION("""COMPUTED_VALUE"""),8)</f>
        <v>8</v>
      </c>
      <c r="R194" s="8">
        <f ca="1">IFERROR(__xludf.DUMMYFUNCTION("""COMPUTED_VALUE"""),832)</f>
        <v>832</v>
      </c>
      <c r="S194" s="8">
        <f ca="1">IFERROR(__xludf.DUMMYFUNCTION("""COMPUTED_VALUE"""),12.8)</f>
        <v>12.8</v>
      </c>
      <c r="T194" s="8">
        <f ca="1">IFERROR(__xludf.DUMMYFUNCTION("""COMPUTED_VALUE"""),844.8)</f>
        <v>844.8</v>
      </c>
      <c r="U194" s="8"/>
      <c r="V194" s="8"/>
      <c r="W194" s="8"/>
      <c r="X194" s="8"/>
      <c r="Y194" s="8"/>
      <c r="Z194" s="37" t="str">
        <f ca="1">IFERROR(__xludf.DUMMYFUNCTION("""COMPUTED_VALUE"""),"JU102")</f>
        <v>JU102</v>
      </c>
      <c r="AA194" s="37" t="str">
        <f ca="1">IFERROR(__xludf.DUMMYFUNCTION("""COMPUTED_VALUE"""),"27/10/2024")</f>
        <v>27/10/2024</v>
      </c>
      <c r="AB194" s="59">
        <f ca="1">IFERROR(__xludf.DUMMYFUNCTION("""COMPUTED_VALUE"""),0.548611111111111)</f>
        <v>0.54861111111111105</v>
      </c>
    </row>
    <row r="195" spans="1:28" ht="14.55" customHeight="1" x14ac:dyDescent="0.3">
      <c r="A195" s="8">
        <v>68</v>
      </c>
      <c r="B195" s="8"/>
      <c r="C195" s="8"/>
      <c r="D195" s="8" t="str">
        <f ca="1">IFERROR(__xludf.DUMMYFUNCTION("""COMPUTED_VALUE"""),"28/08/2024")</f>
        <v>28/08/2024</v>
      </c>
      <c r="E195" s="16" t="str">
        <f ca="1">IFERROR(__xludf.DUMMYFUNCTION("""COMPUTED_VALUE"""),"Player")</f>
        <v>Player</v>
      </c>
      <c r="F195" s="8" t="str">
        <f ca="1">IFERROR(__xludf.DUMMYFUNCTION("""COMPUTED_VALUE"""),"Lupulescu, Constantin")</f>
        <v>Lupulescu, Constantin</v>
      </c>
      <c r="G195" s="16" t="str">
        <f ca="1">IFERROR(__xludf.DUMMYFUNCTION("""COMPUTED_VALUE"""),"ROU")</f>
        <v>ROU</v>
      </c>
      <c r="H195" s="8"/>
      <c r="I195" s="8">
        <f ca="1">IFERROR(__xludf.DUMMYFUNCTION("""COMPUTED_VALUE"""),100)</f>
        <v>100</v>
      </c>
      <c r="J195" s="8"/>
      <c r="K195" s="8"/>
      <c r="L195" s="8" t="str">
        <f ca="1">IFERROR(__xludf.DUMMYFUNCTION("""COMPUTED_VALUE"""),"SuperChess")</f>
        <v>SuperChess</v>
      </c>
      <c r="M195" s="16" t="str">
        <f ca="1">IFERROR(__xludf.DUMMYFUNCTION("""COMPUTED_VALUE"""),"ROU")</f>
        <v>ROU</v>
      </c>
      <c r="N195" s="16" t="str">
        <f ca="1">IFERROR(__xludf.DUMMYFUNCTION("""COMPUTED_VALUE"""),"Kocka")</f>
        <v>Kocka</v>
      </c>
      <c r="O195" s="8"/>
      <c r="P195" s="8">
        <f ca="1">IFERROR(__xludf.DUMMYFUNCTION("""COMPUTED_VALUE"""),104)</f>
        <v>104</v>
      </c>
      <c r="Q195" s="8">
        <f ca="1">IFERROR(__xludf.DUMMYFUNCTION("""COMPUTED_VALUE"""),8)</f>
        <v>8</v>
      </c>
      <c r="R195" s="8">
        <f ca="1">IFERROR(__xludf.DUMMYFUNCTION("""COMPUTED_VALUE"""),832)</f>
        <v>832</v>
      </c>
      <c r="S195" s="8">
        <f ca="1">IFERROR(__xludf.DUMMYFUNCTION("""COMPUTED_VALUE"""),12.8)</f>
        <v>12.8</v>
      </c>
      <c r="T195" s="8">
        <f ca="1">IFERROR(__xludf.DUMMYFUNCTION("""COMPUTED_VALUE"""),844.8)</f>
        <v>844.8</v>
      </c>
      <c r="U195" s="8"/>
      <c r="V195" s="8"/>
      <c r="W195" s="8"/>
      <c r="X195" s="8"/>
      <c r="Y195" s="8"/>
      <c r="Z195" s="37" t="str">
        <f ca="1">IFERROR(__xludf.DUMMYFUNCTION("""COMPUTED_VALUE"""),"JU102")</f>
        <v>JU102</v>
      </c>
      <c r="AA195" s="37" t="str">
        <f ca="1">IFERROR(__xludf.DUMMYFUNCTION("""COMPUTED_VALUE"""),"27/10/2024")</f>
        <v>27/10/2024</v>
      </c>
      <c r="AB195" s="59">
        <f ca="1">IFERROR(__xludf.DUMMYFUNCTION("""COMPUTED_VALUE"""),0.548611111111111)</f>
        <v>0.54861111111111105</v>
      </c>
    </row>
    <row r="196" spans="1:28" ht="14.55" customHeight="1" x14ac:dyDescent="0.3">
      <c r="A196" s="8">
        <v>69</v>
      </c>
      <c r="B196" s="8"/>
      <c r="C196" s="8"/>
      <c r="D196" s="8" t="str">
        <f ca="1">IFERROR(__xludf.DUMMYFUNCTION("""COMPUTED_VALUE"""),"28/08/2024")</f>
        <v>28/08/2024</v>
      </c>
      <c r="E196" s="16" t="s">
        <v>0</v>
      </c>
      <c r="F196" s="8" t="str">
        <f ca="1">IFERROR(__xludf.DUMMYFUNCTION("""COMPUTED_VALUE"""),"Deac, Maria")</f>
        <v>Deac, Maria</v>
      </c>
      <c r="G196" s="16" t="str">
        <f ca="1">IFERROR(__xludf.DUMMYFUNCTION("""COMPUTED_VALUE"""),"ROU")</f>
        <v>ROU</v>
      </c>
      <c r="H196" s="8"/>
      <c r="I196" s="8">
        <f ca="1">IFERROR(__xludf.DUMMYFUNCTION("""COMPUTED_VALUE"""),100)</f>
        <v>100</v>
      </c>
      <c r="J196" s="8"/>
      <c r="K196" s="8"/>
      <c r="L196" s="8" t="str">
        <f ca="1">IFERROR(__xludf.DUMMYFUNCTION("""COMPUTED_VALUE"""),"SuperChess")</f>
        <v>SuperChess</v>
      </c>
      <c r="M196" s="16" t="str">
        <f ca="1">IFERROR(__xludf.DUMMYFUNCTION("""COMPUTED_VALUE"""),"ROU")</f>
        <v>ROU</v>
      </c>
      <c r="N196" s="16" t="str">
        <f ca="1">IFERROR(__xludf.DUMMYFUNCTION("""COMPUTED_VALUE"""),"Kocka")</f>
        <v>Kocka</v>
      </c>
      <c r="O196" s="8" t="str">
        <f ca="1">IFERROR(__xludf.DUMMYFUNCTION("""COMPUTED_VALUE"""),"Deac Bogdan")</f>
        <v>Deac Bogdan</v>
      </c>
      <c r="P196" s="8">
        <f ca="1">IFERROR(__xludf.DUMMYFUNCTION("""COMPUTED_VALUE"""),84)</f>
        <v>84</v>
      </c>
      <c r="Q196" s="8">
        <f ca="1">IFERROR(__xludf.DUMMYFUNCTION("""COMPUTED_VALUE"""),8)</f>
        <v>8</v>
      </c>
      <c r="R196" s="8">
        <f ca="1">IFERROR(__xludf.DUMMYFUNCTION("""COMPUTED_VALUE"""),672)</f>
        <v>672</v>
      </c>
      <c r="S196" s="8">
        <f ca="1">IFERROR(__xludf.DUMMYFUNCTION("""COMPUTED_VALUE"""),12.8)</f>
        <v>12.8</v>
      </c>
      <c r="T196" s="8">
        <f ca="1">IFERROR(__xludf.DUMMYFUNCTION("""COMPUTED_VALUE"""),684.8)</f>
        <v>684.8</v>
      </c>
      <c r="U196" s="8"/>
      <c r="V196" s="8"/>
      <c r="W196" s="8"/>
      <c r="X196" s="8"/>
      <c r="Y196" s="8"/>
      <c r="Z196" s="37" t="str">
        <f ca="1">IFERROR(__xludf.DUMMYFUNCTION("""COMPUTED_VALUE"""),"JU 102")</f>
        <v>JU 102</v>
      </c>
      <c r="AA196" s="37" t="str">
        <f ca="1">IFERROR(__xludf.DUMMYFUNCTION("""COMPUTED_VALUE"""),"27/10/2024")</f>
        <v>27/10/2024</v>
      </c>
      <c r="AB196" s="59">
        <f ca="1">IFERROR(__xludf.DUMMYFUNCTION("""COMPUTED_VALUE"""),0.548611111111111)</f>
        <v>0.54861111111111105</v>
      </c>
    </row>
    <row r="197" spans="1:28" ht="14.55" customHeight="1" x14ac:dyDescent="0.3">
      <c r="A197" s="8">
        <v>70</v>
      </c>
      <c r="B197" s="8"/>
      <c r="C197" s="8"/>
      <c r="D197" s="8" t="str">
        <f ca="1">IFERROR(__xludf.DUMMYFUNCTION("""COMPUTED_VALUE"""),"28/08/2024")</f>
        <v>28/08/2024</v>
      </c>
      <c r="E197" s="16" t="s">
        <v>0</v>
      </c>
      <c r="F197" s="8" t="str">
        <f ca="1">IFERROR(__xludf.DUMMYFUNCTION("""COMPUTED_VALUE"""),"Sokolov, Ivan")</f>
        <v>Sokolov, Ivan</v>
      </c>
      <c r="G197" s="16" t="str">
        <f ca="1">IFERROR(__xludf.DUMMYFUNCTION("""COMPUTED_VALUE"""),"NED")</f>
        <v>NED</v>
      </c>
      <c r="H197" s="8"/>
      <c r="I197" s="8">
        <f ca="1">IFERROR(__xludf.DUMMYFUNCTION("""COMPUTED_VALUE"""),100)</f>
        <v>100</v>
      </c>
      <c r="J197" s="8"/>
      <c r="K197" s="8"/>
      <c r="L197" s="8" t="str">
        <f ca="1">IFERROR(__xludf.DUMMYFUNCTION("""COMPUTED_VALUE"""),"SuperChess")</f>
        <v>SuperChess</v>
      </c>
      <c r="M197" s="16" t="str">
        <f ca="1">IFERROR(__xludf.DUMMYFUNCTION("""COMPUTED_VALUE"""),"ROU")</f>
        <v>ROU</v>
      </c>
      <c r="N197" s="16" t="str">
        <f ca="1">IFERROR(__xludf.DUMMYFUNCTION("""COMPUTED_VALUE"""),"Kocka")</f>
        <v>Kocka</v>
      </c>
      <c r="O197" s="8"/>
      <c r="P197" s="8">
        <f ca="1">IFERROR(__xludf.DUMMYFUNCTION("""COMPUTED_VALUE"""),104)</f>
        <v>104</v>
      </c>
      <c r="Q197" s="8">
        <f ca="1">IFERROR(__xludf.DUMMYFUNCTION("""COMPUTED_VALUE"""),8)</f>
        <v>8</v>
      </c>
      <c r="R197" s="8">
        <f ca="1">IFERROR(__xludf.DUMMYFUNCTION("""COMPUTED_VALUE"""),832)</f>
        <v>832</v>
      </c>
      <c r="S197" s="8">
        <f ca="1">IFERROR(__xludf.DUMMYFUNCTION("""COMPUTED_VALUE"""),12.8)</f>
        <v>12.8</v>
      </c>
      <c r="T197" s="8">
        <f ca="1">IFERROR(__xludf.DUMMYFUNCTION("""COMPUTED_VALUE"""),844.8)</f>
        <v>844.8</v>
      </c>
      <c r="U197" s="8"/>
      <c r="V197" s="8"/>
      <c r="W197" s="8"/>
      <c r="X197" s="8"/>
      <c r="Y197" s="8"/>
      <c r="Z197" s="37" t="str">
        <f ca="1">IFERROR(__xludf.DUMMYFUNCTION("""COMPUTED_VALUE"""),"JU102")</f>
        <v>JU102</v>
      </c>
      <c r="AA197" s="37" t="str">
        <f ca="1">IFERROR(__xludf.DUMMYFUNCTION("""COMPUTED_VALUE"""),"27/10/2024")</f>
        <v>27/10/2024</v>
      </c>
      <c r="AB197" s="59">
        <f ca="1">IFERROR(__xludf.DUMMYFUNCTION("""COMPUTED_VALUE"""),0.548611111111111)</f>
        <v>0.54861111111111105</v>
      </c>
    </row>
    <row r="198" spans="1:28" ht="14.55" customHeight="1" x14ac:dyDescent="0.3">
      <c r="A198" s="8">
        <v>71</v>
      </c>
      <c r="B198" s="8"/>
      <c r="C198" s="8"/>
      <c r="D198" s="13">
        <f ca="1">IFERROR(__xludf.DUMMYFUNCTION("""COMPUTED_VALUE"""),45331)</f>
        <v>45331</v>
      </c>
      <c r="E198" s="16" t="s">
        <v>0</v>
      </c>
      <c r="F198" s="8" t="str">
        <f ca="1">IFERROR(__xludf.DUMMYFUNCTION("""COMPUTED_VALUE"""),"Georgescu, Tiberiu-Marian")</f>
        <v>Georgescu, Tiberiu-Marian</v>
      </c>
      <c r="G198" s="16" t="str">
        <f ca="1">IFERROR(__xludf.DUMMYFUNCTION("""COMPUTED_VALUE"""),"ROU")</f>
        <v>ROU</v>
      </c>
      <c r="H198" s="8"/>
      <c r="I198" s="8">
        <f ca="1">IFERROR(__xludf.DUMMYFUNCTION("""COMPUTED_VALUE"""),100)</f>
        <v>100</v>
      </c>
      <c r="J198" s="8"/>
      <c r="K198" s="8"/>
      <c r="L198" s="8" t="str">
        <f ca="1">IFERROR(__xludf.DUMMYFUNCTION("""COMPUTED_VALUE"""),"SuperChess")</f>
        <v>SuperChess</v>
      </c>
      <c r="M198" s="16" t="str">
        <f ca="1">IFERROR(__xludf.DUMMYFUNCTION("""COMPUTED_VALUE"""),"ROU")</f>
        <v>ROU</v>
      </c>
      <c r="N198" s="16" t="str">
        <f ca="1">IFERROR(__xludf.DUMMYFUNCTION("""COMPUTED_VALUE"""),"Kocka")</f>
        <v>Kocka</v>
      </c>
      <c r="O198" s="8"/>
      <c r="P198" s="8">
        <f ca="1">IFERROR(__xludf.DUMMYFUNCTION("""COMPUTED_VALUE"""),104)</f>
        <v>104</v>
      </c>
      <c r="Q198" s="8">
        <f ca="1">IFERROR(__xludf.DUMMYFUNCTION("""COMPUTED_VALUE"""),8)</f>
        <v>8</v>
      </c>
      <c r="R198" s="8">
        <f ca="1">IFERROR(__xludf.DUMMYFUNCTION("""COMPUTED_VALUE"""),832)</f>
        <v>832</v>
      </c>
      <c r="S198" s="8">
        <f ca="1">IFERROR(__xludf.DUMMYFUNCTION("""COMPUTED_VALUE"""),12.8)</f>
        <v>12.8</v>
      </c>
      <c r="T198" s="8">
        <f ca="1">IFERROR(__xludf.DUMMYFUNCTION("""COMPUTED_VALUE"""),844.8)</f>
        <v>844.8</v>
      </c>
      <c r="U198" s="8"/>
      <c r="V198" s="8"/>
      <c r="W198" s="8"/>
      <c r="X198" s="8"/>
      <c r="Y198" s="8"/>
      <c r="Z198" s="37" t="str">
        <f ca="1">IFERROR(__xludf.DUMMYFUNCTION("""COMPUTED_VALUE"""),"JU102")</f>
        <v>JU102</v>
      </c>
      <c r="AA198" s="37" t="str">
        <f ca="1">IFERROR(__xludf.DUMMYFUNCTION("""COMPUTED_VALUE"""),"27/10/2024")</f>
        <v>27/10/2024</v>
      </c>
      <c r="AB198" s="59">
        <f ca="1">IFERROR(__xludf.DUMMYFUNCTION("""COMPUTED_VALUE"""),0.548611111111111)</f>
        <v>0.54861111111111105</v>
      </c>
    </row>
    <row r="199" spans="1:28" ht="14.55" customHeight="1" x14ac:dyDescent="0.3">
      <c r="A199" s="8">
        <v>72</v>
      </c>
      <c r="B199" s="8"/>
      <c r="C199" s="8"/>
      <c r="D199" s="13">
        <f ca="1">IFERROR(__xludf.DUMMYFUNCTION("""COMPUTED_VALUE"""),45331)</f>
        <v>45331</v>
      </c>
      <c r="E199" s="16" t="s">
        <v>0</v>
      </c>
      <c r="F199" s="8" t="str">
        <f ca="1">IFERROR(__xludf.DUMMYFUNCTION("""COMPUTED_VALUE"""),"Berescu, Alin-Mile")</f>
        <v>Berescu, Alin-Mile</v>
      </c>
      <c r="G199" s="16" t="str">
        <f ca="1">IFERROR(__xludf.DUMMYFUNCTION("""COMPUTED_VALUE"""),"ROU")</f>
        <v>ROU</v>
      </c>
      <c r="H199" s="8"/>
      <c r="I199" s="8">
        <f ca="1">IFERROR(__xludf.DUMMYFUNCTION("""COMPUTED_VALUE"""),100)</f>
        <v>100</v>
      </c>
      <c r="J199" s="8"/>
      <c r="K199" s="8"/>
      <c r="L199" s="8" t="str">
        <f ca="1">IFERROR(__xludf.DUMMYFUNCTION("""COMPUTED_VALUE"""),"SuperChess")</f>
        <v>SuperChess</v>
      </c>
      <c r="M199" s="16" t="str">
        <f ca="1">IFERROR(__xludf.DUMMYFUNCTION("""COMPUTED_VALUE"""),"ROU")</f>
        <v>ROU</v>
      </c>
      <c r="N199" s="16" t="str">
        <f ca="1">IFERROR(__xludf.DUMMYFUNCTION("""COMPUTED_VALUE"""),"Kocka")</f>
        <v>Kocka</v>
      </c>
      <c r="O199" s="8"/>
      <c r="P199" s="8">
        <f ca="1">IFERROR(__xludf.DUMMYFUNCTION("""COMPUTED_VALUE"""),104)</f>
        <v>104</v>
      </c>
      <c r="Q199" s="8">
        <f ca="1">IFERROR(__xludf.DUMMYFUNCTION("""COMPUTED_VALUE"""),8)</f>
        <v>8</v>
      </c>
      <c r="R199" s="8">
        <f ca="1">IFERROR(__xludf.DUMMYFUNCTION("""COMPUTED_VALUE"""),832)</f>
        <v>832</v>
      </c>
      <c r="S199" s="8">
        <f ca="1">IFERROR(__xludf.DUMMYFUNCTION("""COMPUTED_VALUE"""),12.8)</f>
        <v>12.8</v>
      </c>
      <c r="T199" s="8">
        <f ca="1">IFERROR(__xludf.DUMMYFUNCTION("""COMPUTED_VALUE"""),844.8)</f>
        <v>844.8</v>
      </c>
      <c r="U199" s="8"/>
      <c r="V199" s="8"/>
      <c r="W199" s="8"/>
      <c r="X199" s="8"/>
      <c r="Y199" s="8"/>
      <c r="Z199" s="37" t="str">
        <f ca="1">IFERROR(__xludf.DUMMYFUNCTION("""COMPUTED_VALUE"""),"JU102")</f>
        <v>JU102</v>
      </c>
      <c r="AA199" s="37" t="str">
        <f ca="1">IFERROR(__xludf.DUMMYFUNCTION("""COMPUTED_VALUE"""),"27/10/2024")</f>
        <v>27/10/2024</v>
      </c>
      <c r="AB199" s="59">
        <f ca="1">IFERROR(__xludf.DUMMYFUNCTION("""COMPUTED_VALUE"""),0.548611111111111)</f>
        <v>0.54861111111111105</v>
      </c>
    </row>
    <row r="200" spans="1:28" ht="14.55" customHeight="1" x14ac:dyDescent="0.25">
      <c r="A200" s="8">
        <v>73</v>
      </c>
      <c r="B200" s="8"/>
      <c r="C200" s="8"/>
      <c r="D200" s="13">
        <f ca="1">IFERROR(__xludf.DUMMYFUNCTION("""COMPUTED_VALUE"""),45331)</f>
        <v>45331</v>
      </c>
      <c r="E200" s="16" t="str">
        <f ca="1">IFERROR(__xludf.DUMMYFUNCTION("""COMPUTED_VALUE"""),"Player")</f>
        <v>Player</v>
      </c>
      <c r="F200" s="8" t="str">
        <f ca="1">IFERROR(__xludf.DUMMYFUNCTION("""COMPUTED_VALUE"""),"Nisipeanu, Liviu-Dieter")</f>
        <v>Nisipeanu, Liviu-Dieter</v>
      </c>
      <c r="G200" s="16" t="str">
        <f ca="1">IFERROR(__xludf.DUMMYFUNCTION("""COMPUTED_VALUE"""),"ROU")</f>
        <v>ROU</v>
      </c>
      <c r="H200" s="8"/>
      <c r="I200" s="8">
        <f ca="1">IFERROR(__xludf.DUMMYFUNCTION("""COMPUTED_VALUE"""),100)</f>
        <v>100</v>
      </c>
      <c r="J200" s="8"/>
      <c r="K200" s="8"/>
      <c r="L200" s="8" t="str">
        <f ca="1">IFERROR(__xludf.DUMMYFUNCTION("""COMPUTED_VALUE"""),"Vados Chess Club")</f>
        <v>Vados Chess Club</v>
      </c>
      <c r="M200" s="16" t="str">
        <f ca="1">IFERROR(__xludf.DUMMYFUNCTION("""COMPUTED_VALUE"""),"ROU")</f>
        <v>ROU</v>
      </c>
      <c r="N200" s="16" t="str">
        <f ca="1">IFERROR(__xludf.DUMMYFUNCTION("""COMPUTED_VALUE"""),"Fontana")</f>
        <v>Fontana</v>
      </c>
      <c r="O200" s="8"/>
      <c r="P200" s="8"/>
      <c r="Q200" s="8">
        <f ca="1">IFERROR(__xludf.DUMMYFUNCTION("""COMPUTED_VALUE"""),8)</f>
        <v>8</v>
      </c>
      <c r="R200" s="8">
        <f ca="1">IFERROR(__xludf.DUMMYFUNCTION("""COMPUTED_VALUE"""),0)</f>
        <v>0</v>
      </c>
      <c r="S200" s="8">
        <f ca="1">IFERROR(__xludf.DUMMYFUNCTION("""COMPUTED_VALUE"""),12.8)</f>
        <v>12.8</v>
      </c>
      <c r="T200" s="8">
        <f ca="1">IFERROR(__xludf.DUMMYFUNCTION("""COMPUTED_VALUE"""),12.8)</f>
        <v>12.8</v>
      </c>
      <c r="U200" s="8"/>
      <c r="V200" s="8"/>
      <c r="W200" s="8"/>
      <c r="X200" s="8"/>
      <c r="Y200" s="8"/>
      <c r="Z200" s="72" t="s">
        <v>42</v>
      </c>
      <c r="AA200" s="37" t="str">
        <f ca="1">IFERROR(__xludf.DUMMYFUNCTION("""COMPUTED_VALUE"""),"27/10/2024")</f>
        <v>27/10/2024</v>
      </c>
      <c r="AB200" s="60" t="s">
        <v>41</v>
      </c>
    </row>
    <row r="201" spans="1:28" ht="14.55" customHeight="1" x14ac:dyDescent="0.25">
      <c r="A201" s="8">
        <v>74</v>
      </c>
      <c r="B201" s="8"/>
      <c r="C201" s="8"/>
      <c r="D201" s="13">
        <f ca="1">IFERROR(__xludf.DUMMYFUNCTION("""COMPUTED_VALUE"""),45331)</f>
        <v>45331</v>
      </c>
      <c r="E201" s="16" t="str">
        <f ca="1">IFERROR(__xludf.DUMMYFUNCTION("""COMPUTED_VALUE"""),"Player")</f>
        <v>Player</v>
      </c>
      <c r="F201" s="8" t="str">
        <f ca="1">IFERROR(__xludf.DUMMYFUNCTION("""COMPUTED_VALUE"""),"David, Alexandru-Vasile")</f>
        <v>David, Alexandru-Vasile</v>
      </c>
      <c r="G201" s="16" t="str">
        <f ca="1">IFERROR(__xludf.DUMMYFUNCTION("""COMPUTED_VALUE"""),"ROU")</f>
        <v>ROU</v>
      </c>
      <c r="H201" s="8"/>
      <c r="I201" s="8">
        <f ca="1">IFERROR(__xludf.DUMMYFUNCTION("""COMPUTED_VALUE"""),100)</f>
        <v>100</v>
      </c>
      <c r="J201" s="8"/>
      <c r="K201" s="8"/>
      <c r="L201" s="8" t="str">
        <f ca="1">IFERROR(__xludf.DUMMYFUNCTION("""COMPUTED_VALUE"""),"Vados Chess Club")</f>
        <v>Vados Chess Club</v>
      </c>
      <c r="M201" s="16" t="str">
        <f ca="1">IFERROR(__xludf.DUMMYFUNCTION("""COMPUTED_VALUE"""),"ROU")</f>
        <v>ROU</v>
      </c>
      <c r="N201" s="16" t="str">
        <f ca="1">IFERROR(__xludf.DUMMYFUNCTION("""COMPUTED_VALUE"""),"Fontana")</f>
        <v>Fontana</v>
      </c>
      <c r="O201" s="8"/>
      <c r="P201" s="8"/>
      <c r="Q201" s="8">
        <f ca="1">IFERROR(__xludf.DUMMYFUNCTION("""COMPUTED_VALUE"""),8)</f>
        <v>8</v>
      </c>
      <c r="R201" s="8">
        <f ca="1">IFERROR(__xludf.DUMMYFUNCTION("""COMPUTED_VALUE"""),0)</f>
        <v>0</v>
      </c>
      <c r="S201" s="8">
        <f ca="1">IFERROR(__xludf.DUMMYFUNCTION("""COMPUTED_VALUE"""),12.8)</f>
        <v>12.8</v>
      </c>
      <c r="T201" s="8">
        <f ca="1">IFERROR(__xludf.DUMMYFUNCTION("""COMPUTED_VALUE"""),12.8)</f>
        <v>12.8</v>
      </c>
      <c r="U201" s="8"/>
      <c r="V201" s="8"/>
      <c r="W201" s="8"/>
      <c r="X201" s="8"/>
      <c r="Y201" s="8"/>
      <c r="Z201" s="72" t="s">
        <v>42</v>
      </c>
      <c r="AA201" s="37" t="str">
        <f ca="1">IFERROR(__xludf.DUMMYFUNCTION("""COMPUTED_VALUE"""),"27/10/2024")</f>
        <v>27/10/2024</v>
      </c>
      <c r="AB201" s="60" t="s">
        <v>41</v>
      </c>
    </row>
    <row r="202" spans="1:28" ht="14.55" customHeight="1" x14ac:dyDescent="0.3">
      <c r="A202" s="8">
        <v>75</v>
      </c>
      <c r="B202" s="8"/>
      <c r="C202" s="8"/>
      <c r="D202" s="8" t="str">
        <f ca="1">IFERROR(__xludf.DUMMYFUNCTION("""COMPUTED_VALUE"""),"18/08/2024")</f>
        <v>18/08/2024</v>
      </c>
      <c r="E202" s="16" t="str">
        <f ca="1">IFERROR(__xludf.DUMMYFUNCTION("""COMPUTED_VALUE"""),"Player")</f>
        <v>Player</v>
      </c>
      <c r="F202" s="8" t="str">
        <f ca="1">IFERROR(__xludf.DUMMYFUNCTION("""COMPUTED_VALUE"""),"O`Flaherty, Kevin")</f>
        <v>O`Flaherty, Kevin</v>
      </c>
      <c r="G202" s="16" t="str">
        <f ca="1">IFERROR(__xludf.DUMMYFUNCTION("""COMPUTED_VALUE"""),"IRL")</f>
        <v>IRL</v>
      </c>
      <c r="H202" s="8"/>
      <c r="I202" s="8">
        <f ca="1">IFERROR(__xludf.DUMMYFUNCTION("""COMPUTED_VALUE"""),100)</f>
        <v>100</v>
      </c>
      <c r="J202" s="8"/>
      <c r="K202" s="8"/>
      <c r="L202" s="8" t="str">
        <f ca="1">IFERROR(__xludf.DUMMYFUNCTION("""COMPUTED_VALUE"""),"Gonzaga")</f>
        <v>Gonzaga</v>
      </c>
      <c r="M202" s="16" t="str">
        <f ca="1">IFERROR(__xludf.DUMMYFUNCTION("""COMPUTED_VALUE"""),"IRL")</f>
        <v>IRL</v>
      </c>
      <c r="N202" s="16" t="str">
        <f ca="1">IFERROR(__xludf.DUMMYFUNCTION("""COMPUTED_VALUE"""),"Fontana")</f>
        <v>Fontana</v>
      </c>
      <c r="O202" s="8"/>
      <c r="P202" s="8"/>
      <c r="Q202" s="8">
        <f ca="1">IFERROR(__xludf.DUMMYFUNCTION("""COMPUTED_VALUE"""),8)</f>
        <v>8</v>
      </c>
      <c r="R202" s="8">
        <f ca="1">IFERROR(__xludf.DUMMYFUNCTION("""COMPUTED_VALUE"""),0)</f>
        <v>0</v>
      </c>
      <c r="S202" s="8">
        <f ca="1">IFERROR(__xludf.DUMMYFUNCTION("""COMPUTED_VALUE"""),12.8)</f>
        <v>12.8</v>
      </c>
      <c r="T202" s="8">
        <f ca="1">IFERROR(__xludf.DUMMYFUNCTION("""COMPUTED_VALUE"""),12.8)</f>
        <v>12.8</v>
      </c>
      <c r="U202" s="8"/>
      <c r="V202" s="8"/>
      <c r="W202" s="8"/>
      <c r="X202" s="8"/>
      <c r="Y202" s="8"/>
      <c r="Z202" s="37" t="str">
        <f ca="1">IFERROR(__xludf.DUMMYFUNCTION("""COMPUTED_VALUE"""),"LH1735")</f>
        <v>LH1735</v>
      </c>
      <c r="AA202" s="37" t="str">
        <f ca="1">IFERROR(__xludf.DUMMYFUNCTION("""COMPUTED_VALUE"""),"27/10/2024")</f>
        <v>27/10/2024</v>
      </c>
      <c r="AB202" s="59">
        <f ca="1">IFERROR(__xludf.DUMMYFUNCTION("""COMPUTED_VALUE"""),0.552083333333333)</f>
        <v>0.55208333333333304</v>
      </c>
    </row>
    <row r="203" spans="1:28" ht="14.55" customHeight="1" x14ac:dyDescent="0.3">
      <c r="A203" s="8">
        <v>76</v>
      </c>
      <c r="B203" s="8"/>
      <c r="C203" s="8"/>
      <c r="D203" s="8" t="str">
        <f ca="1">IFERROR(__xludf.DUMMYFUNCTION("""COMPUTED_VALUE"""),"18/08/2024")</f>
        <v>18/08/2024</v>
      </c>
      <c r="E203" s="16" t="str">
        <f ca="1">IFERROR(__xludf.DUMMYFUNCTION("""COMPUTED_VALUE"""),"Player")</f>
        <v>Player</v>
      </c>
      <c r="F203" s="8" t="str">
        <f ca="1">IFERROR(__xludf.DUMMYFUNCTION("""COMPUTED_VALUE"""),"Jackson, Carl")</f>
        <v>Jackson, Carl</v>
      </c>
      <c r="G203" s="16" t="str">
        <f ca="1">IFERROR(__xludf.DUMMYFUNCTION("""COMPUTED_VALUE"""),"IRL")</f>
        <v>IRL</v>
      </c>
      <c r="H203" s="8"/>
      <c r="I203" s="8">
        <f ca="1">IFERROR(__xludf.DUMMYFUNCTION("""COMPUTED_VALUE"""),100)</f>
        <v>100</v>
      </c>
      <c r="J203" s="8"/>
      <c r="K203" s="8"/>
      <c r="L203" s="8" t="str">
        <f ca="1">IFERROR(__xludf.DUMMYFUNCTION("""COMPUTED_VALUE"""),"Gonzaga")</f>
        <v>Gonzaga</v>
      </c>
      <c r="M203" s="16" t="str">
        <f ca="1">IFERROR(__xludf.DUMMYFUNCTION("""COMPUTED_VALUE"""),"IRL")</f>
        <v>IRL</v>
      </c>
      <c r="N203" s="16" t="str">
        <f ca="1">IFERROR(__xludf.DUMMYFUNCTION("""COMPUTED_VALUE"""),"Fontana")</f>
        <v>Fontana</v>
      </c>
      <c r="O203" s="8"/>
      <c r="P203" s="8"/>
      <c r="Q203" s="8">
        <f ca="1">IFERROR(__xludf.DUMMYFUNCTION("""COMPUTED_VALUE"""),8)</f>
        <v>8</v>
      </c>
      <c r="R203" s="8">
        <f ca="1">IFERROR(__xludf.DUMMYFUNCTION("""COMPUTED_VALUE"""),0)</f>
        <v>0</v>
      </c>
      <c r="S203" s="8">
        <f ca="1">IFERROR(__xludf.DUMMYFUNCTION("""COMPUTED_VALUE"""),12.8)</f>
        <v>12.8</v>
      </c>
      <c r="T203" s="8">
        <f ca="1">IFERROR(__xludf.DUMMYFUNCTION("""COMPUTED_VALUE"""),12.8)</f>
        <v>12.8</v>
      </c>
      <c r="U203" s="8"/>
      <c r="V203" s="8"/>
      <c r="W203" s="8"/>
      <c r="X203" s="8"/>
      <c r="Y203" s="8"/>
      <c r="Z203" s="37" t="str">
        <f ca="1">IFERROR(__xludf.DUMMYFUNCTION("""COMPUTED_VALUE"""),"LH1735")</f>
        <v>LH1735</v>
      </c>
      <c r="AA203" s="37" t="str">
        <f ca="1">IFERROR(__xludf.DUMMYFUNCTION("""COMPUTED_VALUE"""),"27/10/2024")</f>
        <v>27/10/2024</v>
      </c>
      <c r="AB203" s="59">
        <f ca="1">IFERROR(__xludf.DUMMYFUNCTION("""COMPUTED_VALUE"""),0.552083333333333)</f>
        <v>0.55208333333333304</v>
      </c>
    </row>
    <row r="204" spans="1:28" ht="14.55" customHeight="1" x14ac:dyDescent="0.3">
      <c r="A204" s="8">
        <v>77</v>
      </c>
      <c r="B204" s="8"/>
      <c r="C204" s="8"/>
      <c r="D204" s="8" t="str">
        <f ca="1">IFERROR(__xludf.DUMMYFUNCTION("""COMPUTED_VALUE"""),"19/07/2024")</f>
        <v>19/07/2024</v>
      </c>
      <c r="E204" s="16" t="str">
        <f ca="1">IFERROR(__xludf.DUMMYFUNCTION("""COMPUTED_VALUE"""),"Player")</f>
        <v>Player</v>
      </c>
      <c r="F204" s="8" t="str">
        <f ca="1">IFERROR(__xludf.DUMMYFUNCTION("""COMPUTED_VALUE"""),"Thirion, Marcel")</f>
        <v>Thirion, Marcel</v>
      </c>
      <c r="G204" s="16" t="str">
        <f ca="1">IFERROR(__xludf.DUMMYFUNCTION("""COMPUTED_VALUE"""),"BEL")</f>
        <v>BEL</v>
      </c>
      <c r="H204" s="8"/>
      <c r="I204" s="8">
        <f ca="1">IFERROR(__xludf.DUMMYFUNCTION("""COMPUTED_VALUE"""),100)</f>
        <v>100</v>
      </c>
      <c r="J204" s="8"/>
      <c r="K204" s="8"/>
      <c r="L204" s="8" t="str">
        <f ca="1">IFERROR(__xludf.DUMMYFUNCTION("""COMPUTED_VALUE"""),"La Tour d'Ans-Loncin")</f>
        <v>La Tour d'Ans-Loncin</v>
      </c>
      <c r="M204" s="16" t="str">
        <f ca="1">IFERROR(__xludf.DUMMYFUNCTION("""COMPUTED_VALUE"""),"BEL")</f>
        <v>BEL</v>
      </c>
      <c r="N204" s="16" t="str">
        <f ca="1">IFERROR(__xludf.DUMMYFUNCTION("""COMPUTED_VALUE"""),"Fontana")</f>
        <v>Fontana</v>
      </c>
      <c r="O204" s="8" t="str">
        <f ca="1">IFERROR(__xludf.DUMMYFUNCTION("""COMPUTED_VALUE"""),"DEKOKER Patricia")</f>
        <v>DEKOKER Patricia</v>
      </c>
      <c r="P204" s="8">
        <f ca="1">IFERROR(__xludf.DUMMYFUNCTION("""COMPUTED_VALUE"""),84)</f>
        <v>84</v>
      </c>
      <c r="Q204" s="8">
        <f ca="1">IFERROR(__xludf.DUMMYFUNCTION("""COMPUTED_VALUE"""),8)</f>
        <v>8</v>
      </c>
      <c r="R204" s="8">
        <f ca="1">IFERROR(__xludf.DUMMYFUNCTION("""COMPUTED_VALUE"""),672)</f>
        <v>672</v>
      </c>
      <c r="S204" s="8">
        <f ca="1">IFERROR(__xludf.DUMMYFUNCTION("""COMPUTED_VALUE"""),12.8)</f>
        <v>12.8</v>
      </c>
      <c r="T204" s="8">
        <f ca="1">IFERROR(__xludf.DUMMYFUNCTION("""COMPUTED_VALUE"""),684.8)</f>
        <v>684.8</v>
      </c>
      <c r="U204" s="8"/>
      <c r="V204" s="8"/>
      <c r="W204" s="8"/>
      <c r="X204" s="8" t="str">
        <f ca="1">IFERROR(__xludf.DUMMYFUNCTION("""COMPUTED_VALUE"""),"a large bed is desired")</f>
        <v>a large bed is desired</v>
      </c>
      <c r="Y204" s="8"/>
      <c r="Z204" s="37" t="str">
        <f ca="1">IFERROR(__xludf.DUMMYFUNCTION("""COMPUTED_VALUE"""),"LH 1735")</f>
        <v>LH 1735</v>
      </c>
      <c r="AA204" s="37" t="str">
        <f ca="1">IFERROR(__xludf.DUMMYFUNCTION("""COMPUTED_VALUE"""),"27/10/2024")</f>
        <v>27/10/2024</v>
      </c>
      <c r="AB204" s="59">
        <f ca="1">IFERROR(__xludf.DUMMYFUNCTION("""COMPUTED_VALUE"""),0.552083333333333)</f>
        <v>0.55208333333333304</v>
      </c>
    </row>
    <row r="205" spans="1:28" ht="14.55" customHeight="1" x14ac:dyDescent="0.3">
      <c r="A205" s="8">
        <v>78</v>
      </c>
      <c r="B205" s="8"/>
      <c r="C205" s="8"/>
      <c r="D205" s="8" t="str">
        <f ca="1">IFERROR(__xludf.DUMMYFUNCTION("""COMPUTED_VALUE"""),"19/07/2024")</f>
        <v>19/07/2024</v>
      </c>
      <c r="E205" s="16" t="s">
        <v>0</v>
      </c>
      <c r="F205" s="8" t="str">
        <f ca="1">IFERROR(__xludf.DUMMYFUNCTION("""COMPUTED_VALUE"""),"Dekoker, Patricia")</f>
        <v>Dekoker, Patricia</v>
      </c>
      <c r="G205" s="16" t="str">
        <f ca="1">IFERROR(__xludf.DUMMYFUNCTION("""COMPUTED_VALUE"""),"BEL")</f>
        <v>BEL</v>
      </c>
      <c r="H205" s="8"/>
      <c r="I205" s="8">
        <f ca="1">IFERROR(__xludf.DUMMYFUNCTION("""COMPUTED_VALUE"""),100)</f>
        <v>100</v>
      </c>
      <c r="J205" s="8"/>
      <c r="K205" s="8"/>
      <c r="L205" s="8" t="str">
        <f ca="1">IFERROR(__xludf.DUMMYFUNCTION("""COMPUTED_VALUE"""),"La Tour d'Ans-Loncin")</f>
        <v>La Tour d'Ans-Loncin</v>
      </c>
      <c r="M205" s="16" t="str">
        <f ca="1">IFERROR(__xludf.DUMMYFUNCTION("""COMPUTED_VALUE"""),"BEL")</f>
        <v>BEL</v>
      </c>
      <c r="N205" s="16" t="str">
        <f ca="1">IFERROR(__xludf.DUMMYFUNCTION("""COMPUTED_VALUE"""),"Fontana")</f>
        <v>Fontana</v>
      </c>
      <c r="O205" s="8" t="str">
        <f ca="1">IFERROR(__xludf.DUMMYFUNCTION("""COMPUTED_VALUE"""),"THIRION Marcel")</f>
        <v>THIRION Marcel</v>
      </c>
      <c r="P205" s="8">
        <f ca="1">IFERROR(__xludf.DUMMYFUNCTION("""COMPUTED_VALUE"""),84)</f>
        <v>84</v>
      </c>
      <c r="Q205" s="8">
        <f ca="1">IFERROR(__xludf.DUMMYFUNCTION("""COMPUTED_VALUE"""),8)</f>
        <v>8</v>
      </c>
      <c r="R205" s="8">
        <f ca="1">IFERROR(__xludf.DUMMYFUNCTION("""COMPUTED_VALUE"""),672)</f>
        <v>672</v>
      </c>
      <c r="S205" s="8">
        <f ca="1">IFERROR(__xludf.DUMMYFUNCTION("""COMPUTED_VALUE"""),12.8)</f>
        <v>12.8</v>
      </c>
      <c r="T205" s="8">
        <f ca="1">IFERROR(__xludf.DUMMYFUNCTION("""COMPUTED_VALUE"""),684.8)</f>
        <v>684.8</v>
      </c>
      <c r="U205" s="8"/>
      <c r="V205" s="8"/>
      <c r="W205" s="8"/>
      <c r="X205" s="8" t="str">
        <f ca="1">IFERROR(__xludf.DUMMYFUNCTION("""COMPUTED_VALUE"""),"a large bed is desired")</f>
        <v>a large bed is desired</v>
      </c>
      <c r="Y205" s="8"/>
      <c r="Z205" s="37" t="str">
        <f ca="1">IFERROR(__xludf.DUMMYFUNCTION("""COMPUTED_VALUE"""),"LH 1735")</f>
        <v>LH 1735</v>
      </c>
      <c r="AA205" s="37" t="str">
        <f ca="1">IFERROR(__xludf.DUMMYFUNCTION("""COMPUTED_VALUE"""),"27/10/2024")</f>
        <v>27/10/2024</v>
      </c>
      <c r="AB205" s="59">
        <f ca="1">IFERROR(__xludf.DUMMYFUNCTION("""COMPUTED_VALUE"""),0.552083333333333)</f>
        <v>0.55208333333333304</v>
      </c>
    </row>
    <row r="206" spans="1:28" ht="14.55" customHeight="1" x14ac:dyDescent="0.3">
      <c r="A206" s="8">
        <v>79</v>
      </c>
      <c r="B206" s="8"/>
      <c r="C206" s="8"/>
      <c r="D206" s="13">
        <f ca="1">IFERROR(__xludf.DUMMYFUNCTION("""COMPUTED_VALUE"""),45573)</f>
        <v>45573</v>
      </c>
      <c r="E206" s="16" t="str">
        <f ca="1">IFERROR(__xludf.DUMMYFUNCTION("""COMPUTED_VALUE"""),"Player")</f>
        <v>Player</v>
      </c>
      <c r="F206" s="8" t="str">
        <f ca="1">IFERROR(__xludf.DUMMYFUNCTION("""COMPUTED_VALUE"""),"Audenaert, Bart")</f>
        <v>Audenaert, Bart</v>
      </c>
      <c r="G206" s="16" t="str">
        <f ca="1">IFERROR(__xludf.DUMMYFUNCTION("""COMPUTED_VALUE"""),"BEL")</f>
        <v>BEL</v>
      </c>
      <c r="H206" s="8"/>
      <c r="I206" s="8">
        <f ca="1">IFERROR(__xludf.DUMMYFUNCTION("""COMPUTED_VALUE"""),100)</f>
        <v>100</v>
      </c>
      <c r="J206" s="8"/>
      <c r="K206" s="8"/>
      <c r="L206" s="8" t="str">
        <f ca="1">IFERROR(__xludf.DUMMYFUNCTION("""COMPUTED_VALUE"""),"Pluspion Wachtebeke")</f>
        <v>Pluspion Wachtebeke</v>
      </c>
      <c r="M206" s="16" t="str">
        <f ca="1">IFERROR(__xludf.DUMMYFUNCTION("""COMPUTED_VALUE"""),"BEL")</f>
        <v>BEL</v>
      </c>
      <c r="N206" s="16" t="str">
        <f ca="1">IFERROR(__xludf.DUMMYFUNCTION("""COMPUTED_VALUE"""),"Tonanti")</f>
        <v>Tonanti</v>
      </c>
      <c r="O206" s="8"/>
      <c r="P206" s="8">
        <f ca="1">IFERROR(__xludf.DUMMYFUNCTION("""COMPUTED_VALUE"""),108)</f>
        <v>108</v>
      </c>
      <c r="Q206" s="8">
        <f ca="1">IFERROR(__xludf.DUMMYFUNCTION("""COMPUTED_VALUE"""),8)</f>
        <v>8</v>
      </c>
      <c r="R206" s="8">
        <f ca="1">IFERROR(__xludf.DUMMYFUNCTION("""COMPUTED_VALUE"""),864)</f>
        <v>864</v>
      </c>
      <c r="S206" s="8">
        <f ca="1">IFERROR(__xludf.DUMMYFUNCTION("""COMPUTED_VALUE"""),12.8)</f>
        <v>12.8</v>
      </c>
      <c r="T206" s="8">
        <f ca="1">IFERROR(__xludf.DUMMYFUNCTION("""COMPUTED_VALUE"""),876.8)</f>
        <v>876.8</v>
      </c>
      <c r="U206" s="8"/>
      <c r="V206" s="8"/>
      <c r="W206" s="8"/>
      <c r="X206" s="8"/>
      <c r="Y206" s="8"/>
      <c r="Z206" s="37" t="str">
        <f ca="1">IFERROR(__xludf.DUMMYFUNCTION("""COMPUTED_VALUE"""),"LH 1735")</f>
        <v>LH 1735</v>
      </c>
      <c r="AA206" s="37" t="str">
        <f ca="1">IFERROR(__xludf.DUMMYFUNCTION("""COMPUTED_VALUE"""),"27/10/2024")</f>
        <v>27/10/2024</v>
      </c>
      <c r="AB206" s="59">
        <f ca="1">IFERROR(__xludf.DUMMYFUNCTION("""COMPUTED_VALUE"""),0.552083333333333)</f>
        <v>0.55208333333333304</v>
      </c>
    </row>
    <row r="207" spans="1:28" ht="14.55" customHeight="1" x14ac:dyDescent="0.3">
      <c r="A207" s="8">
        <v>80</v>
      </c>
      <c r="B207" s="8"/>
      <c r="C207" s="8"/>
      <c r="D207" s="8" t="str">
        <f ca="1">IFERROR(__xludf.DUMMYFUNCTION("""COMPUTED_VALUE"""),"15/08/2024")</f>
        <v>15/08/2024</v>
      </c>
      <c r="E207" s="16" t="str">
        <f ca="1">IFERROR(__xludf.DUMMYFUNCTION("""COMPUTED_VALUE"""),"Player")</f>
        <v>Player</v>
      </c>
      <c r="F207" s="8" t="str">
        <f ca="1">IFERROR(__xludf.DUMMYFUNCTION("""COMPUTED_VALUE"""),"McHugh, Kevin")</f>
        <v>McHugh, Kevin</v>
      </c>
      <c r="G207" s="16" t="str">
        <f ca="1">IFERROR(__xludf.DUMMYFUNCTION("""COMPUTED_VALUE"""),"IRL")</f>
        <v>IRL</v>
      </c>
      <c r="H207" s="8"/>
      <c r="I207" s="8">
        <f ca="1">IFERROR(__xludf.DUMMYFUNCTION("""COMPUTED_VALUE"""),100)</f>
        <v>100</v>
      </c>
      <c r="J207" s="8"/>
      <c r="K207" s="8"/>
      <c r="L207" s="8" t="str">
        <f ca="1">IFERROR(__xludf.DUMMYFUNCTION("""COMPUTED_VALUE"""),"St Benildus")</f>
        <v>St Benildus</v>
      </c>
      <c r="M207" s="16" t="str">
        <f ca="1">IFERROR(__xludf.DUMMYFUNCTION("""COMPUTED_VALUE"""),"IRL")</f>
        <v>IRL</v>
      </c>
      <c r="N207" s="16" t="str">
        <f ca="1">IFERROR(__xludf.DUMMYFUNCTION("""COMPUTED_VALUE"""),"Fontana")</f>
        <v>Fontana</v>
      </c>
      <c r="O207" s="8"/>
      <c r="P207" s="8">
        <f ca="1">IFERROR(__xludf.DUMMYFUNCTION("""COMPUTED_VALUE"""),104)</f>
        <v>104</v>
      </c>
      <c r="Q207" s="8">
        <f ca="1">IFERROR(__xludf.DUMMYFUNCTION("""COMPUTED_VALUE"""),8)</f>
        <v>8</v>
      </c>
      <c r="R207" s="8">
        <f ca="1">IFERROR(__xludf.DUMMYFUNCTION("""COMPUTED_VALUE"""),832)</f>
        <v>832</v>
      </c>
      <c r="S207" s="8">
        <f ca="1">IFERROR(__xludf.DUMMYFUNCTION("""COMPUTED_VALUE"""),12.8)</f>
        <v>12.8</v>
      </c>
      <c r="T207" s="8">
        <f ca="1">IFERROR(__xludf.DUMMYFUNCTION("""COMPUTED_VALUE"""),844.8)</f>
        <v>844.8</v>
      </c>
      <c r="U207" s="8"/>
      <c r="V207" s="8"/>
      <c r="W207" s="8"/>
      <c r="X207" s="8"/>
      <c r="Y207" s="8"/>
      <c r="Z207" s="37" t="str">
        <f ca="1">IFERROR(__xludf.DUMMYFUNCTION("""COMPUTED_VALUE"""),"LH2518")</f>
        <v>LH2518</v>
      </c>
      <c r="AA207" s="37" t="str">
        <f ca="1">IFERROR(__xludf.DUMMYFUNCTION("""COMPUTED_VALUE"""),"27/10/2024")</f>
        <v>27/10/2024</v>
      </c>
      <c r="AB207" s="59">
        <f ca="1">IFERROR(__xludf.DUMMYFUNCTION("""COMPUTED_VALUE"""),0.552083333333333)</f>
        <v>0.55208333333333304</v>
      </c>
    </row>
    <row r="208" spans="1:28" ht="14.55" customHeight="1" x14ac:dyDescent="0.3">
      <c r="A208" s="8">
        <v>81</v>
      </c>
      <c r="B208" s="8"/>
      <c r="C208" s="8"/>
      <c r="D208" s="8" t="str">
        <f ca="1">IFERROR(__xludf.DUMMYFUNCTION("""COMPUTED_VALUE"""),"28/08/2024")</f>
        <v>28/08/2024</v>
      </c>
      <c r="E208" s="16" t="str">
        <f ca="1">IFERROR(__xludf.DUMMYFUNCTION("""COMPUTED_VALUE"""),"Player")</f>
        <v>Player</v>
      </c>
      <c r="F208" s="8" t="str">
        <f ca="1">IFERROR(__xludf.DUMMYFUNCTION("""COMPUTED_VALUE"""),"Gukesh D")</f>
        <v>Gukesh D</v>
      </c>
      <c r="G208" s="16" t="str">
        <f ca="1">IFERROR(__xludf.DUMMYFUNCTION("""COMPUTED_VALUE"""),"IND")</f>
        <v>IND</v>
      </c>
      <c r="H208" s="8"/>
      <c r="I208" s="8">
        <f ca="1">IFERROR(__xludf.DUMMYFUNCTION("""COMPUTED_VALUE"""),100)</f>
        <v>100</v>
      </c>
      <c r="J208" s="8"/>
      <c r="K208" s="8"/>
      <c r="L208" s="8" t="str">
        <f ca="1">IFERROR(__xludf.DUMMYFUNCTION("""COMPUTED_VALUE"""),"SuperChess")</f>
        <v>SuperChess</v>
      </c>
      <c r="M208" s="16" t="str">
        <f ca="1">IFERROR(__xludf.DUMMYFUNCTION("""COMPUTED_VALUE"""),"ROU")</f>
        <v>ROU</v>
      </c>
      <c r="N208" s="16" t="str">
        <f ca="1">IFERROR(__xludf.DUMMYFUNCTION("""COMPUTED_VALUE"""),"Kocka")</f>
        <v>Kocka</v>
      </c>
      <c r="O208" s="8"/>
      <c r="P208" s="8">
        <f ca="1">IFERROR(__xludf.DUMMYFUNCTION("""COMPUTED_VALUE"""),104)</f>
        <v>104</v>
      </c>
      <c r="Q208" s="8">
        <f ca="1">IFERROR(__xludf.DUMMYFUNCTION("""COMPUTED_VALUE"""),8)</f>
        <v>8</v>
      </c>
      <c r="R208" s="8">
        <f ca="1">IFERROR(__xludf.DUMMYFUNCTION("""COMPUTED_VALUE"""),832)</f>
        <v>832</v>
      </c>
      <c r="S208" s="8">
        <f ca="1">IFERROR(__xludf.DUMMYFUNCTION("""COMPUTED_VALUE"""),12.8)</f>
        <v>12.8</v>
      </c>
      <c r="T208" s="8">
        <f ca="1">IFERROR(__xludf.DUMMYFUNCTION("""COMPUTED_VALUE"""),844.8)</f>
        <v>844.8</v>
      </c>
      <c r="U208" s="8"/>
      <c r="V208" s="8"/>
      <c r="W208" s="8"/>
      <c r="X208" s="8"/>
      <c r="Y208" s="8"/>
      <c r="Z208" s="37" t="str">
        <f ca="1">IFERROR(__xludf.DUMMYFUNCTION("""COMPUTED_VALUE"""),"EK 2221")</f>
        <v>EK 2221</v>
      </c>
      <c r="AA208" s="37" t="str">
        <f ca="1">IFERROR(__xludf.DUMMYFUNCTION("""COMPUTED_VALUE"""),"27/10/2024")</f>
        <v>27/10/2024</v>
      </c>
      <c r="AB208" s="59">
        <f ca="1">IFERROR(__xludf.DUMMYFUNCTION("""COMPUTED_VALUE"""),0.552083333333333)</f>
        <v>0.55208333333333304</v>
      </c>
    </row>
    <row r="209" spans="1:28" ht="14.55" customHeight="1" x14ac:dyDescent="0.3">
      <c r="A209" s="8">
        <v>82</v>
      </c>
      <c r="B209" s="8"/>
      <c r="C209" s="8"/>
      <c r="D209" s="8" t="str">
        <f ca="1">IFERROR(__xludf.DUMMYFUNCTION("""COMPUTED_VALUE"""),"28/08/2024")</f>
        <v>28/08/2024</v>
      </c>
      <c r="E209" s="16" t="str">
        <f ca="1">IFERROR(__xludf.DUMMYFUNCTION("""COMPUTED_VALUE"""),"Player")</f>
        <v>Player</v>
      </c>
      <c r="F209" s="8" t="str">
        <f ca="1">IFERROR(__xludf.DUMMYFUNCTION("""COMPUTED_VALUE"""),"Praggnanandhaa R")</f>
        <v>Praggnanandhaa R</v>
      </c>
      <c r="G209" s="16" t="str">
        <f ca="1">IFERROR(__xludf.DUMMYFUNCTION("""COMPUTED_VALUE"""),"IND")</f>
        <v>IND</v>
      </c>
      <c r="H209" s="8"/>
      <c r="I209" s="8">
        <f ca="1">IFERROR(__xludf.DUMMYFUNCTION("""COMPUTED_VALUE"""),100)</f>
        <v>100</v>
      </c>
      <c r="J209" s="8"/>
      <c r="K209" s="8"/>
      <c r="L209" s="8" t="str">
        <f ca="1">IFERROR(__xludf.DUMMYFUNCTION("""COMPUTED_VALUE"""),"SuperChess")</f>
        <v>SuperChess</v>
      </c>
      <c r="M209" s="16" t="str">
        <f ca="1">IFERROR(__xludf.DUMMYFUNCTION("""COMPUTED_VALUE"""),"ROU")</f>
        <v>ROU</v>
      </c>
      <c r="N209" s="16" t="str">
        <f ca="1">IFERROR(__xludf.DUMMYFUNCTION("""COMPUTED_VALUE"""),"Kocka")</f>
        <v>Kocka</v>
      </c>
      <c r="O209" s="8"/>
      <c r="P209" s="8">
        <f ca="1">IFERROR(__xludf.DUMMYFUNCTION("""COMPUTED_VALUE"""),104)</f>
        <v>104</v>
      </c>
      <c r="Q209" s="8">
        <f ca="1">IFERROR(__xludf.DUMMYFUNCTION("""COMPUTED_VALUE"""),9)</f>
        <v>9</v>
      </c>
      <c r="R209" s="8">
        <f ca="1">IFERROR(__xludf.DUMMYFUNCTION("""COMPUTED_VALUE"""),936)</f>
        <v>936</v>
      </c>
      <c r="S209" s="8">
        <f ca="1">IFERROR(__xludf.DUMMYFUNCTION("""COMPUTED_VALUE"""),14.4)</f>
        <v>14.4</v>
      </c>
      <c r="T209" s="8">
        <f ca="1">IFERROR(__xludf.DUMMYFUNCTION("""COMPUTED_VALUE"""),950.4)</f>
        <v>950.4</v>
      </c>
      <c r="U209" s="8"/>
      <c r="V209" s="8"/>
      <c r="W209" s="8"/>
      <c r="X209" s="8"/>
      <c r="Y209" s="8"/>
      <c r="Z209" s="37" t="str">
        <f ca="1">IFERROR(__xludf.DUMMYFUNCTION("""COMPUTED_VALUE"""),"EK 2221")</f>
        <v>EK 2221</v>
      </c>
      <c r="AA209" s="37" t="str">
        <f ca="1">IFERROR(__xludf.DUMMYFUNCTION("""COMPUTED_VALUE"""),"27/10/2024")</f>
        <v>27/10/2024</v>
      </c>
      <c r="AB209" s="59">
        <f ca="1">IFERROR(__xludf.DUMMYFUNCTION("""COMPUTED_VALUE"""),0.552083333333333)</f>
        <v>0.55208333333333304</v>
      </c>
    </row>
    <row r="210" spans="1:28" ht="14.55" customHeight="1" x14ac:dyDescent="0.3">
      <c r="A210" s="8">
        <v>83</v>
      </c>
      <c r="B210" s="8"/>
      <c r="C210" s="8"/>
      <c r="D210" s="8" t="str">
        <f ca="1">IFERROR(__xludf.DUMMYFUNCTION("""COMPUTED_VALUE"""),"28/08/2024")</f>
        <v>28/08/2024</v>
      </c>
      <c r="E210" s="16" t="s">
        <v>0</v>
      </c>
      <c r="F210" s="8" t="str">
        <f ca="1">IFERROR(__xludf.DUMMYFUNCTION("""COMPUTED_VALUE"""),"Dr. Rajinikanth K")</f>
        <v>Dr. Rajinikanth K</v>
      </c>
      <c r="G210" s="16" t="str">
        <f ca="1">IFERROR(__xludf.DUMMYFUNCTION("""COMPUTED_VALUE"""),"IND")</f>
        <v>IND</v>
      </c>
      <c r="H210" s="8"/>
      <c r="I210" s="8">
        <f ca="1">IFERROR(__xludf.DUMMYFUNCTION("""COMPUTED_VALUE"""),100)</f>
        <v>100</v>
      </c>
      <c r="J210" s="8"/>
      <c r="K210" s="8"/>
      <c r="L210" s="8" t="str">
        <f ca="1">IFERROR(__xludf.DUMMYFUNCTION("""COMPUTED_VALUE"""),"SuperChess")</f>
        <v>SuperChess</v>
      </c>
      <c r="M210" s="16" t="str">
        <f ca="1">IFERROR(__xludf.DUMMYFUNCTION("""COMPUTED_VALUE"""),"ROU")</f>
        <v>ROU</v>
      </c>
      <c r="N210" s="16" t="str">
        <f ca="1">IFERROR(__xludf.DUMMYFUNCTION("""COMPUTED_VALUE"""),"Kocka")</f>
        <v>Kocka</v>
      </c>
      <c r="O210" s="8"/>
      <c r="P210" s="8">
        <f ca="1">IFERROR(__xludf.DUMMYFUNCTION("""COMPUTED_VALUE"""),104)</f>
        <v>104</v>
      </c>
      <c r="Q210" s="8">
        <f ca="1">IFERROR(__xludf.DUMMYFUNCTION("""COMPUTED_VALUE"""),8)</f>
        <v>8</v>
      </c>
      <c r="R210" s="8">
        <f ca="1">IFERROR(__xludf.DUMMYFUNCTION("""COMPUTED_VALUE"""),832)</f>
        <v>832</v>
      </c>
      <c r="S210" s="8">
        <f ca="1">IFERROR(__xludf.DUMMYFUNCTION("""COMPUTED_VALUE"""),12.8)</f>
        <v>12.8</v>
      </c>
      <c r="T210" s="8">
        <f ca="1">IFERROR(__xludf.DUMMYFUNCTION("""COMPUTED_VALUE"""),844.8)</f>
        <v>844.8</v>
      </c>
      <c r="U210" s="8"/>
      <c r="V210" s="8"/>
      <c r="W210" s="8"/>
      <c r="X210" s="8"/>
      <c r="Y210" s="8"/>
      <c r="Z210" s="37" t="str">
        <f ca="1">IFERROR(__xludf.DUMMYFUNCTION("""COMPUTED_VALUE"""),"EK 2221")</f>
        <v>EK 2221</v>
      </c>
      <c r="AA210" s="37" t="str">
        <f ca="1">IFERROR(__xludf.DUMMYFUNCTION("""COMPUTED_VALUE"""),"27/10/2024")</f>
        <v>27/10/2024</v>
      </c>
      <c r="AB210" s="59">
        <f ca="1">IFERROR(__xludf.DUMMYFUNCTION("""COMPUTED_VALUE"""),0.552083333333333)</f>
        <v>0.55208333333333304</v>
      </c>
    </row>
    <row r="211" spans="1:28" ht="14.55" customHeight="1" x14ac:dyDescent="0.3">
      <c r="A211" s="8">
        <v>84</v>
      </c>
      <c r="B211" s="8"/>
      <c r="C211" s="8"/>
      <c r="D211" s="8"/>
      <c r="E211" s="16" t="str">
        <f ca="1">IFERROR(__xludf.DUMMYFUNCTION("""COMPUTED_VALUE"""),"Player")</f>
        <v>Player</v>
      </c>
      <c r="F211" s="8" t="str">
        <f ca="1">IFERROR(__xludf.DUMMYFUNCTION("""COMPUTED_VALUE"""),"Vaishali, Rameshbabu")</f>
        <v>Vaishali, Rameshbabu</v>
      </c>
      <c r="G211" s="8" t="str">
        <f ca="1">IFERROR(__xludf.DUMMYFUNCTION("""COMPUTED_VALUE"""),"IND")</f>
        <v>IND</v>
      </c>
      <c r="H211" s="8"/>
      <c r="I211" s="8">
        <f ca="1">IFERROR(__xludf.DUMMYFUNCTION("""COMPUTED_VALUE"""),100)</f>
        <v>100</v>
      </c>
      <c r="J211" s="8"/>
      <c r="K211" s="8"/>
      <c r="L211" s="8" t="s">
        <v>2</v>
      </c>
      <c r="M211" s="8" t="str">
        <f ca="1">IFERROR(__xludf.DUMMYFUNCTION("""COMPUTED_VALUE"""),"MNC")</f>
        <v>MNC</v>
      </c>
      <c r="N211" s="16" t="str">
        <f ca="1">IFERROR(__xludf.DUMMYFUNCTION("""COMPUTED_VALUE"""),"Zepter")</f>
        <v>Zepter</v>
      </c>
      <c r="O211" s="8" t="str">
        <f ca="1">IFERROR(__xludf.DUMMYFUNCTION("""COMPUTED_VALUE"""),"Single")</f>
        <v>Single</v>
      </c>
      <c r="P211" s="8"/>
      <c r="Q211" s="8">
        <f ca="1">IFERROR(__xludf.DUMMYFUNCTION("""COMPUTED_VALUE"""),9)</f>
        <v>9</v>
      </c>
      <c r="R211" s="8">
        <f ca="1">IFERROR(__xludf.DUMMYFUNCTION("""COMPUTED_VALUE"""),936)</f>
        <v>936</v>
      </c>
      <c r="S211" s="8">
        <f ca="1">IFERROR(__xludf.DUMMYFUNCTION("""COMPUTED_VALUE"""),14.4)</f>
        <v>14.4</v>
      </c>
      <c r="T211" s="8">
        <f ca="1">IFERROR(__xludf.DUMMYFUNCTION("""COMPUTED_VALUE"""),950.4)</f>
        <v>950.4</v>
      </c>
      <c r="U211" s="8"/>
      <c r="V211" s="8"/>
      <c r="W211" s="8" t="str">
        <f ca="1">IFERROR(__xludf.DUMMYFUNCTION("""COMPUTED_VALUE"""),"YES")</f>
        <v>YES</v>
      </c>
      <c r="X211" s="8"/>
      <c r="Y211" s="8"/>
      <c r="Z211" s="37" t="s">
        <v>27</v>
      </c>
      <c r="AA211" s="37" t="str">
        <f ca="1">IFERROR(__xludf.DUMMYFUNCTION("""COMPUTED_VALUE"""),"27/10/2024")</f>
        <v>27/10/2024</v>
      </c>
      <c r="AB211" s="64">
        <v>0.55208333333333337</v>
      </c>
    </row>
    <row r="212" spans="1:28" ht="14.55" customHeight="1" x14ac:dyDescent="0.3">
      <c r="A212" s="8">
        <v>85</v>
      </c>
      <c r="B212" s="8"/>
      <c r="C212" s="8"/>
      <c r="D212" s="8" t="str">
        <f ca="1">IFERROR(__xludf.DUMMYFUNCTION("""COMPUTED_VALUE"""),"21/07/2024")</f>
        <v>21/07/2024</v>
      </c>
      <c r="E212" s="16" t="str">
        <f ca="1">IFERROR(__xludf.DUMMYFUNCTION("""COMPUTED_VALUE"""),"Player")</f>
        <v>Player</v>
      </c>
      <c r="F212" s="8" t="str">
        <f ca="1">IFERROR(__xludf.DUMMYFUNCTION("""COMPUTED_VALUE"""),"Cardon, Helmut")</f>
        <v>Cardon, Helmut</v>
      </c>
      <c r="G212" s="16" t="str">
        <f ca="1">IFERROR(__xludf.DUMMYFUNCTION("""COMPUTED_VALUE"""),"NED")</f>
        <v>NED</v>
      </c>
      <c r="H212" s="8"/>
      <c r="I212" s="8">
        <f ca="1">IFERROR(__xludf.DUMMYFUNCTION("""COMPUTED_VALUE"""),100)</f>
        <v>100</v>
      </c>
      <c r="J212" s="8"/>
      <c r="K212" s="8"/>
      <c r="L212" s="8" t="str">
        <f ca="1">IFERROR(__xludf.DUMMYFUNCTION("""COMPUTED_VALUE"""),"KBSK Brugge")</f>
        <v>KBSK Brugge</v>
      </c>
      <c r="M212" s="16" t="str">
        <f ca="1">IFERROR(__xludf.DUMMYFUNCTION("""COMPUTED_VALUE"""),"BEL")</f>
        <v>BEL</v>
      </c>
      <c r="N212" s="16" t="str">
        <f ca="1">IFERROR(__xludf.DUMMYFUNCTION("""COMPUTED_VALUE"""),"Zepter")</f>
        <v>Zepter</v>
      </c>
      <c r="O212" s="8"/>
      <c r="P212" s="8">
        <f ca="1">IFERROR(__xludf.DUMMYFUNCTION("""COMPUTED_VALUE"""),104)</f>
        <v>104</v>
      </c>
      <c r="Q212" s="8">
        <f ca="1">IFERROR(__xludf.DUMMYFUNCTION("""COMPUTED_VALUE"""),8)</f>
        <v>8</v>
      </c>
      <c r="R212" s="8">
        <f ca="1">IFERROR(__xludf.DUMMYFUNCTION("""COMPUTED_VALUE"""),832)</f>
        <v>832</v>
      </c>
      <c r="S212" s="8">
        <f ca="1">IFERROR(__xludf.DUMMYFUNCTION("""COMPUTED_VALUE"""),12.8)</f>
        <v>12.8</v>
      </c>
      <c r="T212" s="8">
        <f ca="1">IFERROR(__xludf.DUMMYFUNCTION("""COMPUTED_VALUE"""),844.8)</f>
        <v>844.8</v>
      </c>
      <c r="U212" s="8"/>
      <c r="V212" s="8"/>
      <c r="W212" s="8"/>
      <c r="X212" s="8"/>
      <c r="Y212" s="8"/>
      <c r="Z212" s="37" t="str">
        <f ca="1">IFERROR(__xludf.DUMMYFUNCTION("""COMPUTED_VALUE"""),"JU162")</f>
        <v>JU162</v>
      </c>
      <c r="AA212" s="37" t="str">
        <f ca="1">IFERROR(__xludf.DUMMYFUNCTION("""COMPUTED_VALUE"""),"27/10/2024")</f>
        <v>27/10/2024</v>
      </c>
      <c r="AB212" s="59">
        <f ca="1">IFERROR(__xludf.DUMMYFUNCTION("""COMPUTED_VALUE"""),0.555555555555555)</f>
        <v>0.55555555555555503</v>
      </c>
    </row>
    <row r="213" spans="1:28" ht="14.55" customHeight="1" x14ac:dyDescent="0.3">
      <c r="A213" s="8">
        <v>86</v>
      </c>
      <c r="B213" s="8"/>
      <c r="C213" s="8"/>
      <c r="D213" s="8" t="str">
        <f ca="1">IFERROR(__xludf.DUMMYFUNCTION("""COMPUTED_VALUE"""),"24/07/2024")</f>
        <v>24/07/2024</v>
      </c>
      <c r="E213" s="16" t="str">
        <f ca="1">IFERROR(__xludf.DUMMYFUNCTION("""COMPUTED_VALUE"""),"Player")</f>
        <v>Player</v>
      </c>
      <c r="F213" s="8" t="str">
        <f ca="1">IFERROR(__xludf.DUMMYFUNCTION("""COMPUTED_VALUE"""),"Schoeneshoefer, Adrian")</f>
        <v>Schoeneshoefer, Adrian</v>
      </c>
      <c r="G213" s="16" t="str">
        <f ca="1">IFERROR(__xludf.DUMMYFUNCTION("""COMPUTED_VALUE"""),"GER")</f>
        <v>GER</v>
      </c>
      <c r="H213" s="8"/>
      <c r="I213" s="8">
        <f ca="1">IFERROR(__xludf.DUMMYFUNCTION("""COMPUTED_VALUE"""),100)</f>
        <v>100</v>
      </c>
      <c r="J213" s="8"/>
      <c r="K213" s="8"/>
      <c r="L213" s="8" t="str">
        <f ca="1">IFERROR(__xludf.DUMMYFUNCTION("""COMPUTED_VALUE"""),"Paul Keres 2")</f>
        <v>Paul Keres 2</v>
      </c>
      <c r="M213" s="16" t="str">
        <f ca="1">IFERROR(__xludf.DUMMYFUNCTION("""COMPUTED_VALUE"""),"NED")</f>
        <v>NED</v>
      </c>
      <c r="N213" s="16" t="str">
        <f ca="1">IFERROR(__xludf.DUMMYFUNCTION("""COMPUTED_VALUE"""),"Fontana")</f>
        <v>Fontana</v>
      </c>
      <c r="O213" s="8"/>
      <c r="P213" s="8">
        <f ca="1">IFERROR(__xludf.DUMMYFUNCTION("""COMPUTED_VALUE"""),104)</f>
        <v>104</v>
      </c>
      <c r="Q213" s="8">
        <f ca="1">IFERROR(__xludf.DUMMYFUNCTION("""COMPUTED_VALUE"""),5)</f>
        <v>5</v>
      </c>
      <c r="R213" s="8">
        <f ca="1">IFERROR(__xludf.DUMMYFUNCTION("""COMPUTED_VALUE"""),520)</f>
        <v>520</v>
      </c>
      <c r="S213" s="8">
        <f ca="1">IFERROR(__xludf.DUMMYFUNCTION("""COMPUTED_VALUE"""),8)</f>
        <v>8</v>
      </c>
      <c r="T213" s="8">
        <f ca="1">IFERROR(__xludf.DUMMYFUNCTION("""COMPUTED_VALUE"""),528)</f>
        <v>528</v>
      </c>
      <c r="U213" s="8"/>
      <c r="V213" s="8"/>
      <c r="W213" s="8"/>
      <c r="X213" s="8"/>
      <c r="Y213" s="8"/>
      <c r="Z213" s="37" t="str">
        <f ca="1">IFERROR(__xludf.DUMMYFUNCTION("""COMPUTED_VALUE"""),"W64125")</f>
        <v>W64125</v>
      </c>
      <c r="AA213" s="37" t="str">
        <f ca="1">IFERROR(__xludf.DUMMYFUNCTION("""COMPUTED_VALUE"""),"24/10/2024")</f>
        <v>24/10/2024</v>
      </c>
      <c r="AB213" s="64">
        <f ca="1">IFERROR(__xludf.DUMMYFUNCTION("""COMPUTED_VALUE"""),0.555555555555555)</f>
        <v>0.55555555555555503</v>
      </c>
    </row>
    <row r="214" spans="1:28" ht="14.55" customHeight="1" x14ac:dyDescent="0.3">
      <c r="A214" s="8">
        <v>87</v>
      </c>
      <c r="B214" s="8"/>
      <c r="C214" s="8"/>
      <c r="D214" s="13">
        <f ca="1">IFERROR(__xludf.DUMMYFUNCTION("""COMPUTED_VALUE"""),45512)</f>
        <v>45512</v>
      </c>
      <c r="E214" s="16" t="str">
        <f ca="1">IFERROR(__xludf.DUMMYFUNCTION("""COMPUTED_VALUE"""),"Player")</f>
        <v>Player</v>
      </c>
      <c r="F214" s="8" t="str">
        <f ca="1">IFERROR(__xludf.DUMMYFUNCTION("""COMPUTED_VALUE"""),"Spriestersbach, Kai")</f>
        <v>Spriestersbach, Kai</v>
      </c>
      <c r="G214" s="16" t="str">
        <f ca="1">IFERROR(__xludf.DUMMYFUNCTION("""COMPUTED_VALUE"""),"GER")</f>
        <v>GER</v>
      </c>
      <c r="H214" s="8"/>
      <c r="I214" s="8">
        <f ca="1">IFERROR(__xludf.DUMMYFUNCTION("""COMPUTED_VALUE"""),100)</f>
        <v>100</v>
      </c>
      <c r="J214" s="8"/>
      <c r="K214" s="8"/>
      <c r="L214" s="8" t="str">
        <f ca="1">IFERROR(__xludf.DUMMYFUNCTION("""COMPUTED_VALUE"""),"SV Erkenschwick")</f>
        <v>SV Erkenschwick</v>
      </c>
      <c r="M214" s="16" t="str">
        <f ca="1">IFERROR(__xludf.DUMMYFUNCTION("""COMPUTED_VALUE"""),"GER")</f>
        <v>GER</v>
      </c>
      <c r="N214" s="16" t="str">
        <f ca="1">IFERROR(__xludf.DUMMYFUNCTION("""COMPUTED_VALUE"""),"Fontana")</f>
        <v>Fontana</v>
      </c>
      <c r="O214" s="8" t="str">
        <f ca="1">IFERROR(__xludf.DUMMYFUNCTION("""COMPUTED_VALUE"""),"Lutze")</f>
        <v>Lutze</v>
      </c>
      <c r="P214" s="8">
        <f ca="1">IFERROR(__xludf.DUMMYFUNCTION("""COMPUTED_VALUE"""),84)</f>
        <v>84</v>
      </c>
      <c r="Q214" s="8">
        <f ca="1">IFERROR(__xludf.DUMMYFUNCTION("""COMPUTED_VALUE"""),9)</f>
        <v>9</v>
      </c>
      <c r="R214" s="8">
        <f ca="1">IFERROR(__xludf.DUMMYFUNCTION("""COMPUTED_VALUE"""),756)</f>
        <v>756</v>
      </c>
      <c r="S214" s="8">
        <f ca="1">IFERROR(__xludf.DUMMYFUNCTION("""COMPUTED_VALUE"""),14.4)</f>
        <v>14.4</v>
      </c>
      <c r="T214" s="8">
        <f ca="1">IFERROR(__xludf.DUMMYFUNCTION("""COMPUTED_VALUE"""),770.4)</f>
        <v>770.4</v>
      </c>
      <c r="U214" s="8"/>
      <c r="V214" s="8"/>
      <c r="W214" s="8"/>
      <c r="X214" s="8"/>
      <c r="Y214" s="8"/>
      <c r="Z214" s="37" t="str">
        <f ca="1">IFERROR(__xludf.DUMMYFUNCTION("""COMPUTED_VALUE"""),"W64092")</f>
        <v>W64092</v>
      </c>
      <c r="AA214" s="37" t="str">
        <f ca="1">IFERROR(__xludf.DUMMYFUNCTION("""COMPUTED_VALUE"""),"27/10/2024")</f>
        <v>27/10/2024</v>
      </c>
      <c r="AB214" s="59">
        <f ca="1">IFERROR(__xludf.DUMMYFUNCTION("""COMPUTED_VALUE"""),0.555555555555555)</f>
        <v>0.55555555555555503</v>
      </c>
    </row>
    <row r="215" spans="1:28" ht="14.55" customHeight="1" x14ac:dyDescent="0.3">
      <c r="A215" s="8">
        <v>88</v>
      </c>
      <c r="B215" s="8"/>
      <c r="C215" s="8"/>
      <c r="D215" s="13">
        <f ca="1">IFERROR(__xludf.DUMMYFUNCTION("""COMPUTED_VALUE"""),45512)</f>
        <v>45512</v>
      </c>
      <c r="E215" s="16" t="str">
        <f ca="1">IFERROR(__xludf.DUMMYFUNCTION("""COMPUTED_VALUE"""),"Player")</f>
        <v>Player</v>
      </c>
      <c r="F215" s="8" t="str">
        <f ca="1">IFERROR(__xludf.DUMMYFUNCTION("""COMPUTED_VALUE"""),"Lutze, Max")</f>
        <v>Lutze, Max</v>
      </c>
      <c r="G215" s="16" t="str">
        <f ca="1">IFERROR(__xludf.DUMMYFUNCTION("""COMPUTED_VALUE"""),"GER")</f>
        <v>GER</v>
      </c>
      <c r="H215" s="8"/>
      <c r="I215" s="8">
        <f ca="1">IFERROR(__xludf.DUMMYFUNCTION("""COMPUTED_VALUE"""),100)</f>
        <v>100</v>
      </c>
      <c r="J215" s="8"/>
      <c r="K215" s="8"/>
      <c r="L215" s="8" t="str">
        <f ca="1">IFERROR(__xludf.DUMMYFUNCTION("""COMPUTED_VALUE"""),"SV Erkenschwick")</f>
        <v>SV Erkenschwick</v>
      </c>
      <c r="M215" s="16" t="str">
        <f ca="1">IFERROR(__xludf.DUMMYFUNCTION("""COMPUTED_VALUE"""),"GER")</f>
        <v>GER</v>
      </c>
      <c r="N215" s="16" t="str">
        <f ca="1">IFERROR(__xludf.DUMMYFUNCTION("""COMPUTED_VALUE"""),"Fontana")</f>
        <v>Fontana</v>
      </c>
      <c r="O215" s="8" t="str">
        <f ca="1">IFERROR(__xludf.DUMMYFUNCTION("""COMPUTED_VALUE"""),"Spriestersbach")</f>
        <v>Spriestersbach</v>
      </c>
      <c r="P215" s="8">
        <f ca="1">IFERROR(__xludf.DUMMYFUNCTION("""COMPUTED_VALUE"""),84)</f>
        <v>84</v>
      </c>
      <c r="Q215" s="8">
        <f ca="1">IFERROR(__xludf.DUMMYFUNCTION("""COMPUTED_VALUE"""),9)</f>
        <v>9</v>
      </c>
      <c r="R215" s="8">
        <f ca="1">IFERROR(__xludf.DUMMYFUNCTION("""COMPUTED_VALUE"""),756)</f>
        <v>756</v>
      </c>
      <c r="S215" s="8">
        <f ca="1">IFERROR(__xludf.DUMMYFUNCTION("""COMPUTED_VALUE"""),14.4)</f>
        <v>14.4</v>
      </c>
      <c r="T215" s="8">
        <f ca="1">IFERROR(__xludf.DUMMYFUNCTION("""COMPUTED_VALUE"""),770.4)</f>
        <v>770.4</v>
      </c>
      <c r="U215" s="8"/>
      <c r="V215" s="8"/>
      <c r="W215" s="8"/>
      <c r="X215" s="8"/>
      <c r="Y215" s="8"/>
      <c r="Z215" s="37" t="str">
        <f ca="1">IFERROR(__xludf.DUMMYFUNCTION("""COMPUTED_VALUE"""),"W64092")</f>
        <v>W64092</v>
      </c>
      <c r="AA215" s="37" t="str">
        <f ca="1">IFERROR(__xludf.DUMMYFUNCTION("""COMPUTED_VALUE"""),"27/10/2024")</f>
        <v>27/10/2024</v>
      </c>
      <c r="AB215" s="59">
        <f ca="1">IFERROR(__xludf.DUMMYFUNCTION("""COMPUTED_VALUE"""),0.555555555555555)</f>
        <v>0.55555555555555503</v>
      </c>
    </row>
    <row r="216" spans="1:28" ht="14.55" customHeight="1" x14ac:dyDescent="0.3">
      <c r="A216" s="8">
        <v>89</v>
      </c>
      <c r="B216" s="8"/>
      <c r="C216" s="8"/>
      <c r="D216" s="8" t="str">
        <f ca="1">IFERROR(__xludf.DUMMYFUNCTION("""COMPUTED_VALUE"""),"29/07/2024")</f>
        <v>29/07/2024</v>
      </c>
      <c r="E216" s="16" t="str">
        <f ca="1">IFERROR(__xludf.DUMMYFUNCTION("""COMPUTED_VALUE"""),"Player")</f>
        <v>Player</v>
      </c>
      <c r="F216" s="8" t="str">
        <f ca="1">IFERROR(__xludf.DUMMYFUNCTION("""COMPUTED_VALUE"""),"Hamitevici, Vladimir")</f>
        <v>Hamitevici, Vladimir</v>
      </c>
      <c r="G216" s="16" t="str">
        <f ca="1">IFERROR(__xludf.DUMMYFUNCTION("""COMPUTED_VALUE"""),"MDA")</f>
        <v>MDA</v>
      </c>
      <c r="H216" s="8"/>
      <c r="I216" s="8">
        <f ca="1">IFERROR(__xludf.DUMMYFUNCTION("""COMPUTED_VALUE"""),100)</f>
        <v>100</v>
      </c>
      <c r="J216" s="8"/>
      <c r="K216" s="8"/>
      <c r="L216" s="8" t="str">
        <f ca="1">IFERROR(__xludf.DUMMYFUNCTION("""COMPUTED_VALUE"""),"Perfect")</f>
        <v>Perfect</v>
      </c>
      <c r="M216" s="16" t="str">
        <f ca="1">IFERROR(__xludf.DUMMYFUNCTION("""COMPUTED_VALUE"""),"MDA")</f>
        <v>MDA</v>
      </c>
      <c r="N216" s="16" t="str">
        <f ca="1">IFERROR(__xludf.DUMMYFUNCTION("""COMPUTED_VALUE"""),"Fontana")</f>
        <v>Fontana</v>
      </c>
      <c r="O216" s="8"/>
      <c r="P216" s="8">
        <f ca="1">IFERROR(__xludf.DUMMYFUNCTION("""COMPUTED_VALUE"""),104)</f>
        <v>104</v>
      </c>
      <c r="Q216" s="8">
        <f ca="1">IFERROR(__xludf.DUMMYFUNCTION("""COMPUTED_VALUE"""),8)</f>
        <v>8</v>
      </c>
      <c r="R216" s="8">
        <f ca="1">IFERROR(__xludf.DUMMYFUNCTION("""COMPUTED_VALUE"""),832)</f>
        <v>832</v>
      </c>
      <c r="S216" s="8">
        <f ca="1">IFERROR(__xludf.DUMMYFUNCTION("""COMPUTED_VALUE"""),12.8)</f>
        <v>12.8</v>
      </c>
      <c r="T216" s="8">
        <f ca="1">IFERROR(__xludf.DUMMYFUNCTION("""COMPUTED_VALUE"""),844.8)</f>
        <v>844.8</v>
      </c>
      <c r="U216" s="8"/>
      <c r="V216" s="8"/>
      <c r="W216" s="8"/>
      <c r="X216" s="8"/>
      <c r="Y216" s="8"/>
      <c r="Z216" s="37"/>
      <c r="AA216" s="37" t="str">
        <f ca="1">IFERROR(__xludf.DUMMYFUNCTION("""COMPUTED_VALUE"""),"27/10/2024")</f>
        <v>27/10/2024</v>
      </c>
      <c r="AB216" s="64">
        <f ca="1">IFERROR(__xludf.DUMMYFUNCTION("""COMPUTED_VALUE"""),0.5625)</f>
        <v>0.5625</v>
      </c>
    </row>
    <row r="217" spans="1:28" ht="14.55" customHeight="1" x14ac:dyDescent="0.3">
      <c r="A217" s="8">
        <v>90</v>
      </c>
      <c r="B217" s="8"/>
      <c r="C217" s="8"/>
      <c r="D217" s="8" t="str">
        <f ca="1">IFERROR(__xludf.DUMMYFUNCTION("""COMPUTED_VALUE"""),"31/07/2024")</f>
        <v>31/07/2024</v>
      </c>
      <c r="E217" s="16" t="str">
        <f ca="1">IFERROR(__xludf.DUMMYFUNCTION("""COMPUTED_VALUE"""),"Player")</f>
        <v>Player</v>
      </c>
      <c r="F217" s="8" t="str">
        <f ca="1">IFERROR(__xludf.DUMMYFUNCTION("""COMPUTED_VALUE"""),"Ghasi, Ameet K")</f>
        <v>Ghasi, Ameet K</v>
      </c>
      <c r="G217" s="16" t="str">
        <f ca="1">IFERROR(__xludf.DUMMYFUNCTION("""COMPUTED_VALUE"""),"ENG")</f>
        <v>ENG</v>
      </c>
      <c r="H217" s="8"/>
      <c r="I217" s="8">
        <f ca="1">IFERROR(__xludf.DUMMYFUNCTION("""COMPUTED_VALUE"""),100)</f>
        <v>100</v>
      </c>
      <c r="J217" s="8"/>
      <c r="K217" s="8"/>
      <c r="L217" s="8" t="str">
        <f ca="1">IFERROR(__xludf.DUMMYFUNCTION("""COMPUTED_VALUE"""),"The Sharks")</f>
        <v>The Sharks</v>
      </c>
      <c r="M217" s="16" t="str">
        <f ca="1">IFERROR(__xludf.DUMMYFUNCTION("""COMPUTED_VALUE"""),"ENG")</f>
        <v>ENG</v>
      </c>
      <c r="N217" s="16" t="str">
        <f ca="1">IFERROR(__xludf.DUMMYFUNCTION("""COMPUTED_VALUE"""),"Fontana")</f>
        <v>Fontana</v>
      </c>
      <c r="O217" s="8"/>
      <c r="P217" s="8">
        <f ca="1">IFERROR(__xludf.DUMMYFUNCTION("""COMPUTED_VALUE"""),104)</f>
        <v>104</v>
      </c>
      <c r="Q217" s="8">
        <f ca="1">IFERROR(__xludf.DUMMYFUNCTION("""COMPUTED_VALUE"""),8)</f>
        <v>8</v>
      </c>
      <c r="R217" s="8">
        <f ca="1">IFERROR(__xludf.DUMMYFUNCTION("""COMPUTED_VALUE"""),832)</f>
        <v>832</v>
      </c>
      <c r="S217" s="8">
        <f ca="1">IFERROR(__xludf.DUMMYFUNCTION("""COMPUTED_VALUE"""),12.8)</f>
        <v>12.8</v>
      </c>
      <c r="T217" s="8">
        <f ca="1">IFERROR(__xludf.DUMMYFUNCTION("""COMPUTED_VALUE"""),844.8)</f>
        <v>844.8</v>
      </c>
      <c r="U217" s="8"/>
      <c r="V217" s="8"/>
      <c r="W217" s="8"/>
      <c r="X217" s="8"/>
      <c r="Y217" s="8"/>
      <c r="Z217" s="37" t="str">
        <f ca="1">IFERROR(__xludf.DUMMYFUNCTION("""COMPUTED_VALUE"""),"LH1737")</f>
        <v>LH1737</v>
      </c>
      <c r="AA217" s="37" t="str">
        <f ca="1">IFERROR(__xludf.DUMMYFUNCTION("""COMPUTED_VALUE"""),"27/10/2024")</f>
        <v>27/10/2024</v>
      </c>
      <c r="AB217" s="59">
        <v>0.5625</v>
      </c>
    </row>
    <row r="218" spans="1:28" ht="14.55" customHeight="1" x14ac:dyDescent="0.3">
      <c r="A218" s="8">
        <v>91</v>
      </c>
      <c r="B218" s="8"/>
      <c r="C218" s="8"/>
      <c r="D218" s="8" t="str">
        <f ca="1">IFERROR(__xludf.DUMMYFUNCTION("""COMPUTED_VALUE"""),"31/07/2024")</f>
        <v>31/07/2024</v>
      </c>
      <c r="E218" s="16" t="str">
        <f ca="1">IFERROR(__xludf.DUMMYFUNCTION("""COMPUTED_VALUE"""),"Player")</f>
        <v>Player</v>
      </c>
      <c r="F218" s="8" t="str">
        <f ca="1">IFERROR(__xludf.DUMMYFUNCTION("""COMPUTED_VALUE"""),"McCarthy, Kevin C")</f>
        <v>McCarthy, Kevin C</v>
      </c>
      <c r="G218" s="16" t="str">
        <f ca="1">IFERROR(__xludf.DUMMYFUNCTION("""COMPUTED_VALUE"""),"ENG")</f>
        <v>ENG</v>
      </c>
      <c r="H218" s="8"/>
      <c r="I218" s="8">
        <f ca="1">IFERROR(__xludf.DUMMYFUNCTION("""COMPUTED_VALUE"""),100)</f>
        <v>100</v>
      </c>
      <c r="J218" s="8"/>
      <c r="K218" s="8"/>
      <c r="L218" s="8" t="str">
        <f ca="1">IFERROR(__xludf.DUMMYFUNCTION("""COMPUTED_VALUE"""),"The Sharks")</f>
        <v>The Sharks</v>
      </c>
      <c r="M218" s="16" t="str">
        <f ca="1">IFERROR(__xludf.DUMMYFUNCTION("""COMPUTED_VALUE"""),"ENG")</f>
        <v>ENG</v>
      </c>
      <c r="N218" s="16" t="str">
        <f ca="1">IFERROR(__xludf.DUMMYFUNCTION("""COMPUTED_VALUE"""),"Fontana")</f>
        <v>Fontana</v>
      </c>
      <c r="O218" s="8"/>
      <c r="P218" s="8">
        <f ca="1">IFERROR(__xludf.DUMMYFUNCTION("""COMPUTED_VALUE"""),104)</f>
        <v>104</v>
      </c>
      <c r="Q218" s="8">
        <f ca="1">IFERROR(__xludf.DUMMYFUNCTION("""COMPUTED_VALUE"""),8)</f>
        <v>8</v>
      </c>
      <c r="R218" s="8">
        <f ca="1">IFERROR(__xludf.DUMMYFUNCTION("""COMPUTED_VALUE"""),832)</f>
        <v>832</v>
      </c>
      <c r="S218" s="8">
        <f ca="1">IFERROR(__xludf.DUMMYFUNCTION("""COMPUTED_VALUE"""),12.8)</f>
        <v>12.8</v>
      </c>
      <c r="T218" s="8">
        <f ca="1">IFERROR(__xludf.DUMMYFUNCTION("""COMPUTED_VALUE"""),844.8)</f>
        <v>844.8</v>
      </c>
      <c r="U218" s="8"/>
      <c r="V218" s="8"/>
      <c r="W218" s="8"/>
      <c r="X218" s="8"/>
      <c r="Y218" s="8"/>
      <c r="Z218" s="37" t="str">
        <f ca="1">IFERROR(__xludf.DUMMYFUNCTION("""COMPUTED_VALUE"""),"LH1407")</f>
        <v>LH1407</v>
      </c>
      <c r="AA218" s="37" t="str">
        <f ca="1">IFERROR(__xludf.DUMMYFUNCTION("""COMPUTED_VALUE"""),"27/10/2024")</f>
        <v>27/10/2024</v>
      </c>
      <c r="AB218" s="59">
        <v>0.5625</v>
      </c>
    </row>
    <row r="219" spans="1:28" ht="14.55" customHeight="1" x14ac:dyDescent="0.3">
      <c r="A219" s="8">
        <v>92</v>
      </c>
      <c r="B219" s="8"/>
      <c r="C219" s="8"/>
      <c r="D219" s="8" t="str">
        <f ca="1">IFERROR(__xludf.DUMMYFUNCTION("""COMPUTED_VALUE"""),"31/07/2024")</f>
        <v>31/07/2024</v>
      </c>
      <c r="E219" s="16" t="str">
        <f ca="1">IFERROR(__xludf.DUMMYFUNCTION("""COMPUTED_VALUE"""),"Player")</f>
        <v>Player</v>
      </c>
      <c r="F219" s="8" t="str">
        <f ca="1">IFERROR(__xludf.DUMMYFUNCTION("""COMPUTED_VALUE"""),"Purton, Ben J")</f>
        <v>Purton, Ben J</v>
      </c>
      <c r="G219" s="16" t="str">
        <f ca="1">IFERROR(__xludf.DUMMYFUNCTION("""COMPUTED_VALUE"""),"ENG")</f>
        <v>ENG</v>
      </c>
      <c r="H219" s="8"/>
      <c r="I219" s="8">
        <f ca="1">IFERROR(__xludf.DUMMYFUNCTION("""COMPUTED_VALUE"""),100)</f>
        <v>100</v>
      </c>
      <c r="J219" s="8"/>
      <c r="K219" s="8"/>
      <c r="L219" s="8" t="str">
        <f ca="1">IFERROR(__xludf.DUMMYFUNCTION("""COMPUTED_VALUE"""),"The Sharks")</f>
        <v>The Sharks</v>
      </c>
      <c r="M219" s="16" t="str">
        <f ca="1">IFERROR(__xludf.DUMMYFUNCTION("""COMPUTED_VALUE"""),"ENG")</f>
        <v>ENG</v>
      </c>
      <c r="N219" s="16" t="str">
        <f ca="1">IFERROR(__xludf.DUMMYFUNCTION("""COMPUTED_VALUE"""),"Fontana")</f>
        <v>Fontana</v>
      </c>
      <c r="O219" s="8"/>
      <c r="P219" s="8">
        <f ca="1">IFERROR(__xludf.DUMMYFUNCTION("""COMPUTED_VALUE"""),104)</f>
        <v>104</v>
      </c>
      <c r="Q219" s="8">
        <f ca="1">IFERROR(__xludf.DUMMYFUNCTION("""COMPUTED_VALUE"""),8)</f>
        <v>8</v>
      </c>
      <c r="R219" s="8">
        <f ca="1">IFERROR(__xludf.DUMMYFUNCTION("""COMPUTED_VALUE"""),832)</f>
        <v>832</v>
      </c>
      <c r="S219" s="8">
        <f ca="1">IFERROR(__xludf.DUMMYFUNCTION("""COMPUTED_VALUE"""),12.8)</f>
        <v>12.8</v>
      </c>
      <c r="T219" s="8">
        <f ca="1">IFERROR(__xludf.DUMMYFUNCTION("""COMPUTED_VALUE"""),844.8)</f>
        <v>844.8</v>
      </c>
      <c r="U219" s="8"/>
      <c r="V219" s="8"/>
      <c r="W219" s="8"/>
      <c r="X219" s="8"/>
      <c r="Y219" s="8"/>
      <c r="Z219" s="37" t="str">
        <f ca="1">IFERROR(__xludf.DUMMYFUNCTION("""COMPUTED_VALUE"""),"LH1407")</f>
        <v>LH1407</v>
      </c>
      <c r="AA219" s="37" t="str">
        <f ca="1">IFERROR(__xludf.DUMMYFUNCTION("""COMPUTED_VALUE"""),"27/10/2024")</f>
        <v>27/10/2024</v>
      </c>
      <c r="AB219" s="59">
        <v>0.5625</v>
      </c>
    </row>
    <row r="220" spans="1:28" ht="25.2" customHeight="1" x14ac:dyDescent="0.4">
      <c r="A220" s="48" t="s">
        <v>62</v>
      </c>
      <c r="B220" s="49"/>
      <c r="C220" s="49"/>
      <c r="D220" s="49"/>
      <c r="E220" s="50"/>
      <c r="F220" s="49"/>
      <c r="G220" s="50"/>
      <c r="H220" s="49"/>
      <c r="I220" s="49"/>
      <c r="J220" s="49"/>
      <c r="K220" s="49"/>
      <c r="L220" s="49"/>
      <c r="M220" s="50"/>
      <c r="N220" s="50"/>
      <c r="O220" s="49"/>
      <c r="P220" s="49"/>
      <c r="Q220" s="49"/>
      <c r="R220" s="49"/>
      <c r="S220" s="49"/>
      <c r="T220" s="49"/>
      <c r="U220" s="49"/>
      <c r="V220" s="49"/>
      <c r="W220" s="49"/>
      <c r="X220" s="49"/>
      <c r="Y220" s="49"/>
      <c r="Z220" s="69"/>
      <c r="AA220" s="53"/>
      <c r="AB220" s="62"/>
    </row>
    <row r="221" spans="1:28" ht="14.55" customHeight="1" x14ac:dyDescent="0.3">
      <c r="A221" s="8">
        <v>1</v>
      </c>
      <c r="B221" s="8"/>
      <c r="C221" s="8"/>
      <c r="D221" s="13">
        <f ca="1">IFERROR(__xludf.DUMMYFUNCTION("""COMPUTED_VALUE"""),45420)</f>
        <v>45420</v>
      </c>
      <c r="E221" s="16" t="str">
        <f ca="1">IFERROR(__xludf.DUMMYFUNCTION("""COMPUTED_VALUE"""),"Player")</f>
        <v>Player</v>
      </c>
      <c r="F221" s="8" t="str">
        <f ca="1">IFERROR(__xludf.DUMMYFUNCTION("""COMPUTED_VALUE"""),"Noe, Christopher")</f>
        <v>Noe, Christopher</v>
      </c>
      <c r="G221" s="16" t="str">
        <f ca="1">IFERROR(__xludf.DUMMYFUNCTION("""COMPUTED_VALUE"""),"GER")</f>
        <v>GER</v>
      </c>
      <c r="H221" s="8"/>
      <c r="I221" s="8">
        <f ca="1">IFERROR(__xludf.DUMMYFUNCTION("""COMPUTED_VALUE"""),100)</f>
        <v>100</v>
      </c>
      <c r="J221" s="8"/>
      <c r="K221" s="8"/>
      <c r="L221" s="8" t="str">
        <f ca="1">IFERROR(__xludf.DUMMYFUNCTION("""COMPUTED_VALUE"""),"De Sprenger Echternach")</f>
        <v>De Sprenger Echternach</v>
      </c>
      <c r="M221" s="16" t="str">
        <f ca="1">IFERROR(__xludf.DUMMYFUNCTION("""COMPUTED_VALUE"""),"LUX")</f>
        <v>LUX</v>
      </c>
      <c r="N221" s="16" t="str">
        <f ca="1">IFERROR(__xludf.DUMMYFUNCTION("""COMPUTED_VALUE"""),"Fontana")</f>
        <v>Fontana</v>
      </c>
      <c r="O221" s="8"/>
      <c r="P221" s="8">
        <f ca="1">IFERROR(__xludf.DUMMYFUNCTION("""COMPUTED_VALUE"""),104)</f>
        <v>104</v>
      </c>
      <c r="Q221" s="8">
        <f ca="1">IFERROR(__xludf.DUMMYFUNCTION("""COMPUTED_VALUE"""),8)</f>
        <v>8</v>
      </c>
      <c r="R221" s="8">
        <f ca="1">IFERROR(__xludf.DUMMYFUNCTION("""COMPUTED_VALUE"""),832)</f>
        <v>832</v>
      </c>
      <c r="S221" s="8">
        <f ca="1">IFERROR(__xludf.DUMMYFUNCTION("""COMPUTED_VALUE"""),12.8)</f>
        <v>12.8</v>
      </c>
      <c r="T221" s="8">
        <f ca="1">IFERROR(__xludf.DUMMYFUNCTION("""COMPUTED_VALUE"""),844.8)</f>
        <v>844.8</v>
      </c>
      <c r="U221" s="8"/>
      <c r="V221" s="8"/>
      <c r="W221" s="8"/>
      <c r="X221" s="8"/>
      <c r="Y221" s="8"/>
      <c r="Z221" s="37" t="str">
        <f ca="1">IFERROR(__xludf.DUMMYFUNCTION("""COMPUTED_VALUE"""),"LH1407")</f>
        <v>LH1407</v>
      </c>
      <c r="AA221" s="37" t="str">
        <f ca="1">IFERROR(__xludf.DUMMYFUNCTION("""COMPUTED_VALUE"""),"27/10/2024")</f>
        <v>27/10/2024</v>
      </c>
      <c r="AB221" s="59">
        <f ca="1">IFERROR(__xludf.DUMMYFUNCTION("""COMPUTED_VALUE"""),0.569444444444444)</f>
        <v>0.56944444444444398</v>
      </c>
    </row>
    <row r="222" spans="1:28" ht="14.55" customHeight="1" x14ac:dyDescent="0.3">
      <c r="A222" s="8">
        <v>2</v>
      </c>
      <c r="B222" s="8"/>
      <c r="C222" s="8"/>
      <c r="D222" s="13">
        <f ca="1">IFERROR(__xludf.DUMMYFUNCTION("""COMPUTED_VALUE"""),45420)</f>
        <v>45420</v>
      </c>
      <c r="E222" s="16" t="str">
        <f ca="1">IFERROR(__xludf.DUMMYFUNCTION("""COMPUTED_VALUE"""),"Player")</f>
        <v>Player</v>
      </c>
      <c r="F222" s="8" t="str">
        <f ca="1">IFERROR(__xludf.DUMMYFUNCTION("""COMPUTED_VALUE"""),"Wagener, Claude")</f>
        <v>Wagener, Claude</v>
      </c>
      <c r="G222" s="16" t="str">
        <f ca="1">IFERROR(__xludf.DUMMYFUNCTION("""COMPUTED_VALUE"""),"LUX")</f>
        <v>LUX</v>
      </c>
      <c r="H222" s="8"/>
      <c r="I222" s="8">
        <f ca="1">IFERROR(__xludf.DUMMYFUNCTION("""COMPUTED_VALUE"""),100)</f>
        <v>100</v>
      </c>
      <c r="J222" s="8"/>
      <c r="K222" s="8"/>
      <c r="L222" s="8" t="str">
        <f ca="1">IFERROR(__xludf.DUMMYFUNCTION("""COMPUTED_VALUE"""),"De Sprenger Echternach")</f>
        <v>De Sprenger Echternach</v>
      </c>
      <c r="M222" s="16" t="str">
        <f ca="1">IFERROR(__xludf.DUMMYFUNCTION("""COMPUTED_VALUE"""),"LUX")</f>
        <v>LUX</v>
      </c>
      <c r="N222" s="16" t="str">
        <f ca="1">IFERROR(__xludf.DUMMYFUNCTION("""COMPUTED_VALUE"""),"Fontana")</f>
        <v>Fontana</v>
      </c>
      <c r="O222" s="8"/>
      <c r="P222" s="8">
        <f ca="1">IFERROR(__xludf.DUMMYFUNCTION("""COMPUTED_VALUE"""),104)</f>
        <v>104</v>
      </c>
      <c r="Q222" s="8">
        <f ca="1">IFERROR(__xludf.DUMMYFUNCTION("""COMPUTED_VALUE"""),8)</f>
        <v>8</v>
      </c>
      <c r="R222" s="8">
        <f ca="1">IFERROR(__xludf.DUMMYFUNCTION("""COMPUTED_VALUE"""),832)</f>
        <v>832</v>
      </c>
      <c r="S222" s="8">
        <f ca="1">IFERROR(__xludf.DUMMYFUNCTION("""COMPUTED_VALUE"""),12.8)</f>
        <v>12.8</v>
      </c>
      <c r="T222" s="8">
        <f ca="1">IFERROR(__xludf.DUMMYFUNCTION("""COMPUTED_VALUE"""),844.8)</f>
        <v>844.8</v>
      </c>
      <c r="U222" s="8"/>
      <c r="V222" s="8"/>
      <c r="W222" s="8"/>
      <c r="X222" s="8"/>
      <c r="Y222" s="8"/>
      <c r="Z222" s="37" t="str">
        <f ca="1">IFERROR(__xludf.DUMMYFUNCTION("""COMPUTED_VALUE"""),"LH1407")</f>
        <v>LH1407</v>
      </c>
      <c r="AA222" s="37" t="str">
        <f ca="1">IFERROR(__xludf.DUMMYFUNCTION("""COMPUTED_VALUE"""),"27/10/2024")</f>
        <v>27/10/2024</v>
      </c>
      <c r="AB222" s="59">
        <f ca="1">IFERROR(__xludf.DUMMYFUNCTION("""COMPUTED_VALUE"""),0.569444444444444)</f>
        <v>0.56944444444444398</v>
      </c>
    </row>
    <row r="223" spans="1:28" ht="14.55" customHeight="1" x14ac:dyDescent="0.3">
      <c r="A223" s="8">
        <v>3</v>
      </c>
      <c r="B223" s="8"/>
      <c r="C223" s="8"/>
      <c r="D223" s="13">
        <f ca="1">IFERROR(__xludf.DUMMYFUNCTION("""COMPUTED_VALUE"""),45420)</f>
        <v>45420</v>
      </c>
      <c r="E223" s="16" t="str">
        <f ca="1">IFERROR(__xludf.DUMMYFUNCTION("""COMPUTED_VALUE"""),"Player")</f>
        <v>Player</v>
      </c>
      <c r="F223" s="8" t="str">
        <f ca="1">IFERROR(__xludf.DUMMYFUNCTION("""COMPUTED_VALUE"""),"Carafizi, Vasile")</f>
        <v>Carafizi, Vasile</v>
      </c>
      <c r="G223" s="16" t="str">
        <f ca="1">IFERROR(__xludf.DUMMYFUNCTION("""COMPUTED_VALUE"""),"LUX")</f>
        <v>LUX</v>
      </c>
      <c r="H223" s="8"/>
      <c r="I223" s="8">
        <f ca="1">IFERROR(__xludf.DUMMYFUNCTION("""COMPUTED_VALUE"""),100)</f>
        <v>100</v>
      </c>
      <c r="J223" s="8"/>
      <c r="K223" s="8"/>
      <c r="L223" s="8" t="str">
        <f ca="1">IFERROR(__xludf.DUMMYFUNCTION("""COMPUTED_VALUE"""),"De Sprenger Echternach")</f>
        <v>De Sprenger Echternach</v>
      </c>
      <c r="M223" s="16" t="str">
        <f ca="1">IFERROR(__xludf.DUMMYFUNCTION("""COMPUTED_VALUE"""),"LUX")</f>
        <v>LUX</v>
      </c>
      <c r="N223" s="16" t="str">
        <f ca="1">IFERROR(__xludf.DUMMYFUNCTION("""COMPUTED_VALUE"""),"Fontana")</f>
        <v>Fontana</v>
      </c>
      <c r="O223" s="8"/>
      <c r="P223" s="8">
        <f ca="1">IFERROR(__xludf.DUMMYFUNCTION("""COMPUTED_VALUE"""),104)</f>
        <v>104</v>
      </c>
      <c r="Q223" s="8">
        <f ca="1">IFERROR(__xludf.DUMMYFUNCTION("""COMPUTED_VALUE"""),8)</f>
        <v>8</v>
      </c>
      <c r="R223" s="8">
        <f ca="1">IFERROR(__xludf.DUMMYFUNCTION("""COMPUTED_VALUE"""),832)</f>
        <v>832</v>
      </c>
      <c r="S223" s="8">
        <f ca="1">IFERROR(__xludf.DUMMYFUNCTION("""COMPUTED_VALUE"""),12.8)</f>
        <v>12.8</v>
      </c>
      <c r="T223" s="8">
        <f ca="1">IFERROR(__xludf.DUMMYFUNCTION("""COMPUTED_VALUE"""),844.8)</f>
        <v>844.8</v>
      </c>
      <c r="U223" s="8"/>
      <c r="V223" s="8"/>
      <c r="W223" s="8"/>
      <c r="X223" s="8"/>
      <c r="Y223" s="8"/>
      <c r="Z223" s="37" t="str">
        <f ca="1">IFERROR(__xludf.DUMMYFUNCTION("""COMPUTED_VALUE"""),"LH1407")</f>
        <v>LH1407</v>
      </c>
      <c r="AA223" s="37" t="str">
        <f ca="1">IFERROR(__xludf.DUMMYFUNCTION("""COMPUTED_VALUE"""),"27/10/2024")</f>
        <v>27/10/2024</v>
      </c>
      <c r="AB223" s="59">
        <f ca="1">IFERROR(__xludf.DUMMYFUNCTION("""COMPUTED_VALUE"""),0.569444444444444)</f>
        <v>0.56944444444444398</v>
      </c>
    </row>
    <row r="224" spans="1:28" ht="14.55" customHeight="1" x14ac:dyDescent="0.3">
      <c r="A224" s="8">
        <v>4</v>
      </c>
      <c r="B224" s="8"/>
      <c r="C224" s="8"/>
      <c r="D224" s="13">
        <f ca="1">IFERROR(__xludf.DUMMYFUNCTION("""COMPUTED_VALUE"""),45420)</f>
        <v>45420</v>
      </c>
      <c r="E224" s="16" t="str">
        <f ca="1">IFERROR(__xludf.DUMMYFUNCTION("""COMPUTED_VALUE"""),"Player")</f>
        <v>Player</v>
      </c>
      <c r="F224" s="8" t="str">
        <f ca="1">IFERROR(__xludf.DUMMYFUNCTION("""COMPUTED_VALUE"""),"Gnichtel, Gerd")</f>
        <v>Gnichtel, Gerd</v>
      </c>
      <c r="G224" s="16" t="str">
        <f ca="1">IFERROR(__xludf.DUMMYFUNCTION("""COMPUTED_VALUE"""),"GER")</f>
        <v>GER</v>
      </c>
      <c r="H224" s="8"/>
      <c r="I224" s="8">
        <f ca="1">IFERROR(__xludf.DUMMYFUNCTION("""COMPUTED_VALUE"""),100)</f>
        <v>100</v>
      </c>
      <c r="J224" s="8"/>
      <c r="K224" s="8"/>
      <c r="L224" s="8" t="str">
        <f ca="1">IFERROR(__xludf.DUMMYFUNCTION("""COMPUTED_VALUE"""),"De Sprenger Echternach")</f>
        <v>De Sprenger Echternach</v>
      </c>
      <c r="M224" s="16" t="str">
        <f ca="1">IFERROR(__xludf.DUMMYFUNCTION("""COMPUTED_VALUE"""),"LUX")</f>
        <v>LUX</v>
      </c>
      <c r="N224" s="16" t="str">
        <f ca="1">IFERROR(__xludf.DUMMYFUNCTION("""COMPUTED_VALUE"""),"Fontana")</f>
        <v>Fontana</v>
      </c>
      <c r="O224" s="8"/>
      <c r="P224" s="8">
        <f ca="1">IFERROR(__xludf.DUMMYFUNCTION("""COMPUTED_VALUE"""),104)</f>
        <v>104</v>
      </c>
      <c r="Q224" s="8">
        <f ca="1">IFERROR(__xludf.DUMMYFUNCTION("""COMPUTED_VALUE"""),8)</f>
        <v>8</v>
      </c>
      <c r="R224" s="8">
        <f ca="1">IFERROR(__xludf.DUMMYFUNCTION("""COMPUTED_VALUE"""),832)</f>
        <v>832</v>
      </c>
      <c r="S224" s="8">
        <f ca="1">IFERROR(__xludf.DUMMYFUNCTION("""COMPUTED_VALUE"""),12.8)</f>
        <v>12.8</v>
      </c>
      <c r="T224" s="8">
        <f ca="1">IFERROR(__xludf.DUMMYFUNCTION("""COMPUTED_VALUE"""),844.8)</f>
        <v>844.8</v>
      </c>
      <c r="U224" s="8"/>
      <c r="V224" s="8"/>
      <c r="W224" s="8"/>
      <c r="X224" s="8"/>
      <c r="Y224" s="8"/>
      <c r="Z224" s="37" t="str">
        <f ca="1">IFERROR(__xludf.DUMMYFUNCTION("""COMPUTED_VALUE"""),"LH1407")</f>
        <v>LH1407</v>
      </c>
      <c r="AA224" s="37" t="str">
        <f ca="1">IFERROR(__xludf.DUMMYFUNCTION("""COMPUTED_VALUE"""),"27/10/2024")</f>
        <v>27/10/2024</v>
      </c>
      <c r="AB224" s="59">
        <f ca="1">IFERROR(__xludf.DUMMYFUNCTION("""COMPUTED_VALUE"""),0.569444444444444)</f>
        <v>0.56944444444444398</v>
      </c>
    </row>
    <row r="225" spans="1:28" ht="14.55" customHeight="1" x14ac:dyDescent="0.3">
      <c r="A225" s="8">
        <v>5</v>
      </c>
      <c r="B225" s="8"/>
      <c r="C225" s="8" t="str">
        <f ca="1">IFERROR(__xludf.DUMMYFUNCTION("""COMPUTED_VALUE"""),"Nov Player")</f>
        <v>Nov Player</v>
      </c>
      <c r="D225" s="13">
        <f ca="1">IFERROR(__xludf.DUMMYFUNCTION("""COMPUTED_VALUE"""),45420)</f>
        <v>45420</v>
      </c>
      <c r="E225" s="16" t="str">
        <f ca="1">IFERROR(__xludf.DUMMYFUNCTION("""COMPUTED_VALUE"""),"Player")</f>
        <v>Player</v>
      </c>
      <c r="F225" s="8" t="str">
        <f ca="1">IFERROR(__xludf.DUMMYFUNCTION("""COMPUTED_VALUE"""),"Hammes, Michael")</f>
        <v>Hammes, Michael</v>
      </c>
      <c r="G225" s="16" t="str">
        <f ca="1">IFERROR(__xludf.DUMMYFUNCTION("""COMPUTED_VALUE"""),"GER")</f>
        <v>GER</v>
      </c>
      <c r="H225" s="8"/>
      <c r="I225" s="8">
        <f ca="1">IFERROR(__xludf.DUMMYFUNCTION("""COMPUTED_VALUE"""),100)</f>
        <v>100</v>
      </c>
      <c r="J225" s="8"/>
      <c r="K225" s="8"/>
      <c r="L225" s="8" t="str">
        <f ca="1">IFERROR(__xludf.DUMMYFUNCTION("""COMPUTED_VALUE"""),"De Sprenger Echternach")</f>
        <v>De Sprenger Echternach</v>
      </c>
      <c r="M225" s="16" t="str">
        <f ca="1">IFERROR(__xludf.DUMMYFUNCTION("""COMPUTED_VALUE"""),"LUX")</f>
        <v>LUX</v>
      </c>
      <c r="N225" s="16" t="str">
        <f ca="1">IFERROR(__xludf.DUMMYFUNCTION("""COMPUTED_VALUE"""),"Fontana")</f>
        <v>Fontana</v>
      </c>
      <c r="O225" s="8"/>
      <c r="P225" s="8">
        <f ca="1">IFERROR(__xludf.DUMMYFUNCTION("""COMPUTED_VALUE"""),104)</f>
        <v>104</v>
      </c>
      <c r="Q225" s="8">
        <f ca="1">IFERROR(__xludf.DUMMYFUNCTION("""COMPUTED_VALUE"""),8)</f>
        <v>8</v>
      </c>
      <c r="R225" s="8">
        <f ca="1">IFERROR(__xludf.DUMMYFUNCTION("""COMPUTED_VALUE"""),832)</f>
        <v>832</v>
      </c>
      <c r="S225" s="8">
        <f ca="1">IFERROR(__xludf.DUMMYFUNCTION("""COMPUTED_VALUE"""),12.8)</f>
        <v>12.8</v>
      </c>
      <c r="T225" s="8">
        <f ca="1">IFERROR(__xludf.DUMMYFUNCTION("""COMPUTED_VALUE"""),844.8)</f>
        <v>844.8</v>
      </c>
      <c r="U225" s="8"/>
      <c r="V225" s="8"/>
      <c r="W225" s="8"/>
      <c r="X225" s="15">
        <f ca="1">IFERROR(__xludf.DUMMYFUNCTION("""COMPUTED_VALUE"""),39780)</f>
        <v>39780</v>
      </c>
      <c r="Y225" s="8"/>
      <c r="Z225" s="37" t="str">
        <f ca="1">IFERROR(__xludf.DUMMYFUNCTION("""COMPUTED_VALUE"""),"LH1407")</f>
        <v>LH1407</v>
      </c>
      <c r="AA225" s="37" t="str">
        <f ca="1">IFERROR(__xludf.DUMMYFUNCTION("""COMPUTED_VALUE"""),"27/10/2024")</f>
        <v>27/10/2024</v>
      </c>
      <c r="AB225" s="59">
        <f ca="1">IFERROR(__xludf.DUMMYFUNCTION("""COMPUTED_VALUE"""),0.569444444444444)</f>
        <v>0.56944444444444398</v>
      </c>
    </row>
    <row r="226" spans="1:28" ht="14.55" customHeight="1" x14ac:dyDescent="0.3">
      <c r="A226" s="8">
        <v>6</v>
      </c>
      <c r="B226" s="8"/>
      <c r="C226" s="8" t="str">
        <f ca="1">IFERROR(__xludf.DUMMYFUNCTION("""COMPUTED_VALUE"""),"bio Players sada Acc")</f>
        <v>bio Players sada Acc</v>
      </c>
      <c r="D226" s="13">
        <f ca="1">IFERROR(__xludf.DUMMYFUNCTION("""COMPUTED_VALUE"""),45420)</f>
        <v>45420</v>
      </c>
      <c r="E226" s="16" t="s">
        <v>0</v>
      </c>
      <c r="F226" s="8" t="str">
        <f ca="1">IFERROR(__xludf.DUMMYFUNCTION("""COMPUTED_VALUE"""),"Densing, Gerd")</f>
        <v>Densing, Gerd</v>
      </c>
      <c r="G226" s="16" t="str">
        <f ca="1">IFERROR(__xludf.DUMMYFUNCTION("""COMPUTED_VALUE"""),"GER")</f>
        <v>GER</v>
      </c>
      <c r="H226" s="8"/>
      <c r="I226" s="8">
        <f ca="1">IFERROR(__xludf.DUMMYFUNCTION("""COMPUTED_VALUE"""),100)</f>
        <v>100</v>
      </c>
      <c r="J226" s="8"/>
      <c r="K226" s="8"/>
      <c r="L226" s="8" t="str">
        <f ca="1">IFERROR(__xludf.DUMMYFUNCTION("""COMPUTED_VALUE"""),"De Sprenger Echternach")</f>
        <v>De Sprenger Echternach</v>
      </c>
      <c r="M226" s="16" t="str">
        <f ca="1">IFERROR(__xludf.DUMMYFUNCTION("""COMPUTED_VALUE"""),"LUX")</f>
        <v>LUX</v>
      </c>
      <c r="N226" s="16" t="str">
        <f ca="1">IFERROR(__xludf.DUMMYFUNCTION("""COMPUTED_VALUE"""),"Fontana")</f>
        <v>Fontana</v>
      </c>
      <c r="O226" s="8"/>
      <c r="P226" s="8">
        <f ca="1">IFERROR(__xludf.DUMMYFUNCTION("""COMPUTED_VALUE"""),104)</f>
        <v>104</v>
      </c>
      <c r="Q226" s="8">
        <f ca="1">IFERROR(__xludf.DUMMYFUNCTION("""COMPUTED_VALUE"""),8)</f>
        <v>8</v>
      </c>
      <c r="R226" s="8">
        <f ca="1">IFERROR(__xludf.DUMMYFUNCTION("""COMPUTED_VALUE"""),832)</f>
        <v>832</v>
      </c>
      <c r="S226" s="8">
        <f ca="1">IFERROR(__xludf.DUMMYFUNCTION("""COMPUTED_VALUE"""),12.8)</f>
        <v>12.8</v>
      </c>
      <c r="T226" s="8">
        <f ca="1">IFERROR(__xludf.DUMMYFUNCTION("""COMPUTED_VALUE"""),844.8)</f>
        <v>844.8</v>
      </c>
      <c r="U226" s="8"/>
      <c r="V226" s="8"/>
      <c r="W226" s="8"/>
      <c r="X226" s="8"/>
      <c r="Y226" s="8"/>
      <c r="Z226" s="37" t="str">
        <f ca="1">IFERROR(__xludf.DUMMYFUNCTION("""COMPUTED_VALUE"""),"LH1407")</f>
        <v>LH1407</v>
      </c>
      <c r="AA226" s="37" t="str">
        <f ca="1">IFERROR(__xludf.DUMMYFUNCTION("""COMPUTED_VALUE"""),"27/10/2024")</f>
        <v>27/10/2024</v>
      </c>
      <c r="AB226" s="59">
        <f ca="1">IFERROR(__xludf.DUMMYFUNCTION("""COMPUTED_VALUE"""),0.569444444444444)</f>
        <v>0.56944444444444398</v>
      </c>
    </row>
    <row r="227" spans="1:28" ht="14.55" customHeight="1" x14ac:dyDescent="0.3">
      <c r="A227" s="8">
        <v>7</v>
      </c>
      <c r="B227" s="8"/>
      <c r="C227" s="8"/>
      <c r="D227" s="8" t="str">
        <f ca="1">IFERROR(__xludf.DUMMYFUNCTION("""COMPUTED_VALUE"""),"28/07/2024")</f>
        <v>28/07/2024</v>
      </c>
      <c r="E227" s="16" t="str">
        <f ca="1">IFERROR(__xludf.DUMMYFUNCTION("""COMPUTED_VALUE"""),"Player")</f>
        <v>Player</v>
      </c>
      <c r="F227" s="8" t="str">
        <f ca="1">IFERROR(__xludf.DUMMYFUNCTION("""COMPUTED_VALUE"""),"Ortega Ruiz, Jose Miguel")</f>
        <v>Ortega Ruiz, Jose Miguel</v>
      </c>
      <c r="G227" s="16" t="str">
        <f ca="1">IFERROR(__xludf.DUMMYFUNCTION("""COMPUTED_VALUE"""),"ESP")</f>
        <v>ESP</v>
      </c>
      <c r="H227" s="8"/>
      <c r="I227" s="8">
        <f ca="1">IFERROR(__xludf.DUMMYFUNCTION("""COMPUTED_VALUE"""),100)</f>
        <v>100</v>
      </c>
      <c r="J227" s="8"/>
      <c r="K227" s="8"/>
      <c r="L227" s="8" t="str">
        <f ca="1">IFERROR(__xludf.DUMMYFUNCTION("""COMPUTED_VALUE"""),"Diagonal Alcorcon")</f>
        <v>Diagonal Alcorcon</v>
      </c>
      <c r="M227" s="16" t="str">
        <f ca="1">IFERROR(__xludf.DUMMYFUNCTION("""COMPUTED_VALUE"""),"ESP")</f>
        <v>ESP</v>
      </c>
      <c r="N227" s="16" t="str">
        <f ca="1">IFERROR(__xludf.DUMMYFUNCTION("""COMPUTED_VALUE"""),"Zepter")</f>
        <v>Zepter</v>
      </c>
      <c r="O227" s="8" t="str">
        <f ca="1">IFERROR(__xludf.DUMMYFUNCTION("""COMPUTED_VALUE"""),"MUGUERZA")</f>
        <v>MUGUERZA</v>
      </c>
      <c r="P227" s="8">
        <f ca="1">IFERROR(__xludf.DUMMYFUNCTION("""COMPUTED_VALUE"""),82)</f>
        <v>82</v>
      </c>
      <c r="Q227" s="8">
        <f ca="1">IFERROR(__xludf.DUMMYFUNCTION("""COMPUTED_VALUE"""),8)</f>
        <v>8</v>
      </c>
      <c r="R227" s="8">
        <f ca="1">IFERROR(__xludf.DUMMYFUNCTION("""COMPUTED_VALUE"""),656)</f>
        <v>656</v>
      </c>
      <c r="S227" s="8">
        <f ca="1">IFERROR(__xludf.DUMMYFUNCTION("""COMPUTED_VALUE"""),12.8)</f>
        <v>12.8</v>
      </c>
      <c r="T227" s="8">
        <f ca="1">IFERROR(__xludf.DUMMYFUNCTION("""COMPUTED_VALUE"""),668.8)</f>
        <v>668.8</v>
      </c>
      <c r="U227" s="8"/>
      <c r="V227" s="8"/>
      <c r="W227" s="8"/>
      <c r="X227" s="8"/>
      <c r="Y227" s="8"/>
      <c r="Z227" s="37" t="str">
        <f ca="1">IFERROR(__xludf.DUMMYFUNCTION("""COMPUTED_VALUE"""),"LH1407")</f>
        <v>LH1407</v>
      </c>
      <c r="AA227" s="37" t="str">
        <f ca="1">IFERROR(__xludf.DUMMYFUNCTION("""COMPUTED_VALUE"""),"27/10/2024")</f>
        <v>27/10/2024</v>
      </c>
      <c r="AB227" s="59">
        <f ca="1">IFERROR(__xludf.DUMMYFUNCTION("""COMPUTED_VALUE"""),0.569444444444444)</f>
        <v>0.56944444444444398</v>
      </c>
    </row>
    <row r="228" spans="1:28" ht="14.55" customHeight="1" x14ac:dyDescent="0.3">
      <c r="A228" s="8">
        <v>8</v>
      </c>
      <c r="B228" s="8"/>
      <c r="C228" s="8"/>
      <c r="D228" s="8" t="str">
        <f ca="1">IFERROR(__xludf.DUMMYFUNCTION("""COMPUTED_VALUE"""),"28/07/2024")</f>
        <v>28/07/2024</v>
      </c>
      <c r="E228" s="16" t="str">
        <f ca="1">IFERROR(__xludf.DUMMYFUNCTION("""COMPUTED_VALUE"""),"Player")</f>
        <v>Player</v>
      </c>
      <c r="F228" s="8" t="str">
        <f ca="1">IFERROR(__xludf.DUMMYFUNCTION("""COMPUTED_VALUE"""),"Blazquez Sanz, Oscar")</f>
        <v>Blazquez Sanz, Oscar</v>
      </c>
      <c r="G228" s="16" t="str">
        <f ca="1">IFERROR(__xludf.DUMMYFUNCTION("""COMPUTED_VALUE"""),"ESP")</f>
        <v>ESP</v>
      </c>
      <c r="H228" s="8"/>
      <c r="I228" s="8">
        <f ca="1">IFERROR(__xludf.DUMMYFUNCTION("""COMPUTED_VALUE"""),100)</f>
        <v>100</v>
      </c>
      <c r="J228" s="8"/>
      <c r="K228" s="8"/>
      <c r="L228" s="8" t="str">
        <f ca="1">IFERROR(__xludf.DUMMYFUNCTION("""COMPUTED_VALUE"""),"Diagonal Alcorcon")</f>
        <v>Diagonal Alcorcon</v>
      </c>
      <c r="M228" s="16" t="str">
        <f ca="1">IFERROR(__xludf.DUMMYFUNCTION("""COMPUTED_VALUE"""),"ESP")</f>
        <v>ESP</v>
      </c>
      <c r="N228" s="16" t="str">
        <f ca="1">IFERROR(__xludf.DUMMYFUNCTION("""COMPUTED_VALUE"""),"Zepter")</f>
        <v>Zepter</v>
      </c>
      <c r="O228" s="8" t="str">
        <f ca="1">IFERROR(__xludf.DUMMYFUNCTION("""COMPUTED_VALUE"""),"MATA")</f>
        <v>MATA</v>
      </c>
      <c r="P228" s="8">
        <f ca="1">IFERROR(__xludf.DUMMYFUNCTION("""COMPUTED_VALUE"""),82)</f>
        <v>82</v>
      </c>
      <c r="Q228" s="8">
        <f ca="1">IFERROR(__xludf.DUMMYFUNCTION("""COMPUTED_VALUE"""),8)</f>
        <v>8</v>
      </c>
      <c r="R228" s="8">
        <f ca="1">IFERROR(__xludf.DUMMYFUNCTION("""COMPUTED_VALUE"""),656)</f>
        <v>656</v>
      </c>
      <c r="S228" s="8">
        <f ca="1">IFERROR(__xludf.DUMMYFUNCTION("""COMPUTED_VALUE"""),12.8)</f>
        <v>12.8</v>
      </c>
      <c r="T228" s="8">
        <f ca="1">IFERROR(__xludf.DUMMYFUNCTION("""COMPUTED_VALUE"""),668.8)</f>
        <v>668.8</v>
      </c>
      <c r="U228" s="8"/>
      <c r="V228" s="8"/>
      <c r="W228" s="8"/>
      <c r="X228" s="8"/>
      <c r="Y228" s="8"/>
      <c r="Z228" s="37" t="str">
        <f ca="1">IFERROR(__xludf.DUMMYFUNCTION("""COMPUTED_VALUE"""),"LH1407")</f>
        <v>LH1407</v>
      </c>
      <c r="AA228" s="37" t="str">
        <f ca="1">IFERROR(__xludf.DUMMYFUNCTION("""COMPUTED_VALUE"""),"27/10/2024")</f>
        <v>27/10/2024</v>
      </c>
      <c r="AB228" s="59">
        <f ca="1">IFERROR(__xludf.DUMMYFUNCTION("""COMPUTED_VALUE"""),0.569444444444444)</f>
        <v>0.56944444444444398</v>
      </c>
    </row>
    <row r="229" spans="1:28" ht="14.55" customHeight="1" x14ac:dyDescent="0.3">
      <c r="A229" s="8">
        <v>9</v>
      </c>
      <c r="B229" s="8"/>
      <c r="C229" s="8"/>
      <c r="D229" s="8" t="str">
        <f ca="1">IFERROR(__xludf.DUMMYFUNCTION("""COMPUTED_VALUE"""),"28/07/2024")</f>
        <v>28/07/2024</v>
      </c>
      <c r="E229" s="16" t="str">
        <f ca="1">IFERROR(__xludf.DUMMYFUNCTION("""COMPUTED_VALUE"""),"Player")</f>
        <v>Player</v>
      </c>
      <c r="F229" s="8" t="str">
        <f ca="1">IFERROR(__xludf.DUMMYFUNCTION("""COMPUTED_VALUE"""),"Estevez Sacristan, Deva")</f>
        <v>Estevez Sacristan, Deva</v>
      </c>
      <c r="G229" s="16" t="str">
        <f ca="1">IFERROR(__xludf.DUMMYFUNCTION("""COMPUTED_VALUE"""),"ESP")</f>
        <v>ESP</v>
      </c>
      <c r="H229" s="8"/>
      <c r="I229" s="8">
        <f ca="1">IFERROR(__xludf.DUMMYFUNCTION("""COMPUTED_VALUE"""),100)</f>
        <v>100</v>
      </c>
      <c r="J229" s="8"/>
      <c r="K229" s="8"/>
      <c r="L229" s="8" t="str">
        <f ca="1">IFERROR(__xludf.DUMMYFUNCTION("""COMPUTED_VALUE"""),"Diagonal Alcorcon")</f>
        <v>Diagonal Alcorcon</v>
      </c>
      <c r="M229" s="16" t="str">
        <f ca="1">IFERROR(__xludf.DUMMYFUNCTION("""COMPUTED_VALUE"""),"ESP")</f>
        <v>ESP</v>
      </c>
      <c r="N229" s="16" t="str">
        <f ca="1">IFERROR(__xludf.DUMMYFUNCTION("""COMPUTED_VALUE"""),"Zepter")</f>
        <v>Zepter</v>
      </c>
      <c r="O229" s="8" t="str">
        <f ca="1">IFERROR(__xludf.DUMMYFUNCTION("""COMPUTED_VALUE"""),"ESTEVEZ")</f>
        <v>ESTEVEZ</v>
      </c>
      <c r="P229" s="8">
        <f ca="1">IFERROR(__xludf.DUMMYFUNCTION("""COMPUTED_VALUE"""),82)</f>
        <v>82</v>
      </c>
      <c r="Q229" s="8">
        <f ca="1">IFERROR(__xludf.DUMMYFUNCTION("""COMPUTED_VALUE"""),8)</f>
        <v>8</v>
      </c>
      <c r="R229" s="8">
        <f ca="1">IFERROR(__xludf.DUMMYFUNCTION("""COMPUTED_VALUE"""),656)</f>
        <v>656</v>
      </c>
      <c r="S229" s="8">
        <f ca="1">IFERROR(__xludf.DUMMYFUNCTION("""COMPUTED_VALUE"""),12.8)</f>
        <v>12.8</v>
      </c>
      <c r="T229" s="8">
        <f ca="1">IFERROR(__xludf.DUMMYFUNCTION("""COMPUTED_VALUE"""),668.8)</f>
        <v>668.8</v>
      </c>
      <c r="U229" s="8"/>
      <c r="V229" s="8"/>
      <c r="W229" s="8"/>
      <c r="X229" s="8"/>
      <c r="Y229" s="8"/>
      <c r="Z229" s="37" t="str">
        <f ca="1">IFERROR(__xludf.DUMMYFUNCTION("""COMPUTED_VALUE"""),"LH1407")</f>
        <v>LH1407</v>
      </c>
      <c r="AA229" s="37" t="str">
        <f ca="1">IFERROR(__xludf.DUMMYFUNCTION("""COMPUTED_VALUE"""),"27/10/2024")</f>
        <v>27/10/2024</v>
      </c>
      <c r="AB229" s="59">
        <f ca="1">IFERROR(__xludf.DUMMYFUNCTION("""COMPUTED_VALUE"""),0.569444444444444)</f>
        <v>0.56944444444444398</v>
      </c>
    </row>
    <row r="230" spans="1:28" ht="14.55" customHeight="1" x14ac:dyDescent="0.3">
      <c r="A230" s="8">
        <v>10</v>
      </c>
      <c r="B230" s="8"/>
      <c r="C230" s="8"/>
      <c r="D230" s="8" t="str">
        <f ca="1">IFERROR(__xludf.DUMMYFUNCTION("""COMPUTED_VALUE"""),"28/07/2024")</f>
        <v>28/07/2024</v>
      </c>
      <c r="E230" s="16" t="str">
        <f ca="1">IFERROR(__xludf.DUMMYFUNCTION("""COMPUTED_VALUE"""),"Player")</f>
        <v>Player</v>
      </c>
      <c r="F230" s="8" t="str">
        <f ca="1">IFERROR(__xludf.DUMMYFUNCTION("""COMPUTED_VALUE"""),"Mata Medina, Andres")</f>
        <v>Mata Medina, Andres</v>
      </c>
      <c r="G230" s="16" t="str">
        <f ca="1">IFERROR(__xludf.DUMMYFUNCTION("""COMPUTED_VALUE"""),"ESP")</f>
        <v>ESP</v>
      </c>
      <c r="H230" s="8"/>
      <c r="I230" s="8">
        <f ca="1">IFERROR(__xludf.DUMMYFUNCTION("""COMPUTED_VALUE"""),100)</f>
        <v>100</v>
      </c>
      <c r="J230" s="8"/>
      <c r="K230" s="8"/>
      <c r="L230" s="8" t="str">
        <f ca="1">IFERROR(__xludf.DUMMYFUNCTION("""COMPUTED_VALUE"""),"Diagonal Alcorcon")</f>
        <v>Diagonal Alcorcon</v>
      </c>
      <c r="M230" s="16" t="str">
        <f ca="1">IFERROR(__xludf.DUMMYFUNCTION("""COMPUTED_VALUE"""),"ESP")</f>
        <v>ESP</v>
      </c>
      <c r="N230" s="16" t="str">
        <f ca="1">IFERROR(__xludf.DUMMYFUNCTION("""COMPUTED_VALUE"""),"Zepter")</f>
        <v>Zepter</v>
      </c>
      <c r="O230" s="8" t="str">
        <f ca="1">IFERROR(__xludf.DUMMYFUNCTION("""COMPUTED_VALUE"""),"BLAZQUEZ")</f>
        <v>BLAZQUEZ</v>
      </c>
      <c r="P230" s="8">
        <f ca="1">IFERROR(__xludf.DUMMYFUNCTION("""COMPUTED_VALUE"""),82)</f>
        <v>82</v>
      </c>
      <c r="Q230" s="8">
        <f ca="1">IFERROR(__xludf.DUMMYFUNCTION("""COMPUTED_VALUE"""),8)</f>
        <v>8</v>
      </c>
      <c r="R230" s="8">
        <f ca="1">IFERROR(__xludf.DUMMYFUNCTION("""COMPUTED_VALUE"""),656)</f>
        <v>656</v>
      </c>
      <c r="S230" s="8">
        <f ca="1">IFERROR(__xludf.DUMMYFUNCTION("""COMPUTED_VALUE"""),12.8)</f>
        <v>12.8</v>
      </c>
      <c r="T230" s="8">
        <f ca="1">IFERROR(__xludf.DUMMYFUNCTION("""COMPUTED_VALUE"""),668.8)</f>
        <v>668.8</v>
      </c>
      <c r="U230" s="8"/>
      <c r="V230" s="8"/>
      <c r="W230" s="8"/>
      <c r="X230" s="8"/>
      <c r="Y230" s="8"/>
      <c r="Z230" s="37" t="str">
        <f ca="1">IFERROR(__xludf.DUMMYFUNCTION("""COMPUTED_VALUE"""),"LH1407")</f>
        <v>LH1407</v>
      </c>
      <c r="AA230" s="37" t="str">
        <f ca="1">IFERROR(__xludf.DUMMYFUNCTION("""COMPUTED_VALUE"""),"27/10/2024")</f>
        <v>27/10/2024</v>
      </c>
      <c r="AB230" s="59">
        <f ca="1">IFERROR(__xludf.DUMMYFUNCTION("""COMPUTED_VALUE"""),0.569444444444444)</f>
        <v>0.56944444444444398</v>
      </c>
    </row>
    <row r="231" spans="1:28" ht="14.55" customHeight="1" x14ac:dyDescent="0.3">
      <c r="A231" s="8">
        <v>11</v>
      </c>
      <c r="B231" s="8"/>
      <c r="C231" s="8"/>
      <c r="D231" s="8" t="str">
        <f ca="1">IFERROR(__xludf.DUMMYFUNCTION("""COMPUTED_VALUE"""),"28/07/2024")</f>
        <v>28/07/2024</v>
      </c>
      <c r="E231" s="16" t="str">
        <f ca="1">IFERROR(__xludf.DUMMYFUNCTION("""COMPUTED_VALUE"""),"Player")</f>
        <v>Player</v>
      </c>
      <c r="F231" s="8" t="str">
        <f ca="1">IFERROR(__xludf.DUMMYFUNCTION("""COMPUTED_VALUE"""),"Muguerza Judez, Enrique")</f>
        <v>Muguerza Judez, Enrique</v>
      </c>
      <c r="G231" s="16" t="str">
        <f ca="1">IFERROR(__xludf.DUMMYFUNCTION("""COMPUTED_VALUE"""),"ESP")</f>
        <v>ESP</v>
      </c>
      <c r="H231" s="8"/>
      <c r="I231" s="8">
        <f ca="1">IFERROR(__xludf.DUMMYFUNCTION("""COMPUTED_VALUE"""),100)</f>
        <v>100</v>
      </c>
      <c r="J231" s="8"/>
      <c r="K231" s="8"/>
      <c r="L231" s="8" t="str">
        <f ca="1">IFERROR(__xludf.DUMMYFUNCTION("""COMPUTED_VALUE"""),"Diagonal Alcorcon")</f>
        <v>Diagonal Alcorcon</v>
      </c>
      <c r="M231" s="16" t="str">
        <f ca="1">IFERROR(__xludf.DUMMYFUNCTION("""COMPUTED_VALUE"""),"ESP")</f>
        <v>ESP</v>
      </c>
      <c r="N231" s="16" t="str">
        <f ca="1">IFERROR(__xludf.DUMMYFUNCTION("""COMPUTED_VALUE"""),"Zepter")</f>
        <v>Zepter</v>
      </c>
      <c r="O231" s="8" t="str">
        <f ca="1">IFERROR(__xludf.DUMMYFUNCTION("""COMPUTED_VALUE"""),"ORTEGA")</f>
        <v>ORTEGA</v>
      </c>
      <c r="P231" s="8">
        <f ca="1">IFERROR(__xludf.DUMMYFUNCTION("""COMPUTED_VALUE"""),82)</f>
        <v>82</v>
      </c>
      <c r="Q231" s="8">
        <f ca="1">IFERROR(__xludf.DUMMYFUNCTION("""COMPUTED_VALUE"""),8)</f>
        <v>8</v>
      </c>
      <c r="R231" s="8">
        <f ca="1">IFERROR(__xludf.DUMMYFUNCTION("""COMPUTED_VALUE"""),656)</f>
        <v>656</v>
      </c>
      <c r="S231" s="8">
        <f ca="1">IFERROR(__xludf.DUMMYFUNCTION("""COMPUTED_VALUE"""),12.8)</f>
        <v>12.8</v>
      </c>
      <c r="T231" s="8">
        <f ca="1">IFERROR(__xludf.DUMMYFUNCTION("""COMPUTED_VALUE"""),668.8)</f>
        <v>668.8</v>
      </c>
      <c r="U231" s="8"/>
      <c r="V231" s="8"/>
      <c r="W231" s="8"/>
      <c r="X231" s="8"/>
      <c r="Y231" s="8"/>
      <c r="Z231" s="37" t="str">
        <f ca="1">IFERROR(__xludf.DUMMYFUNCTION("""COMPUTED_VALUE"""),"LH1407")</f>
        <v>LH1407</v>
      </c>
      <c r="AA231" s="37" t="str">
        <f ca="1">IFERROR(__xludf.DUMMYFUNCTION("""COMPUTED_VALUE"""),"27/10/2024")</f>
        <v>27/10/2024</v>
      </c>
      <c r="AB231" s="59">
        <f ca="1">IFERROR(__xludf.DUMMYFUNCTION("""COMPUTED_VALUE"""),0.569444444444444)</f>
        <v>0.56944444444444398</v>
      </c>
    </row>
    <row r="232" spans="1:28" ht="14.55" customHeight="1" x14ac:dyDescent="0.3">
      <c r="A232" s="8">
        <v>12</v>
      </c>
      <c r="B232" s="8"/>
      <c r="C232" s="8"/>
      <c r="D232" s="8" t="str">
        <f ca="1">IFERROR(__xludf.DUMMYFUNCTION("""COMPUTED_VALUE"""),"28/07/2024")</f>
        <v>28/07/2024</v>
      </c>
      <c r="E232" s="16" t="s">
        <v>0</v>
      </c>
      <c r="F232" s="8" t="str">
        <f ca="1">IFERROR(__xludf.DUMMYFUNCTION("""COMPUTED_VALUE"""),"Estevez Laorga, Jose Maria")</f>
        <v>Estevez Laorga, Jose Maria</v>
      </c>
      <c r="G232" s="16" t="str">
        <f ca="1">IFERROR(__xludf.DUMMYFUNCTION("""COMPUTED_VALUE"""),"ESP")</f>
        <v>ESP</v>
      </c>
      <c r="H232" s="8"/>
      <c r="I232" s="8">
        <f ca="1">IFERROR(__xludf.DUMMYFUNCTION("""COMPUTED_VALUE"""),100)</f>
        <v>100</v>
      </c>
      <c r="J232" s="8"/>
      <c r="K232" s="8"/>
      <c r="L232" s="8" t="str">
        <f ca="1">IFERROR(__xludf.DUMMYFUNCTION("""COMPUTED_VALUE"""),"Diagonal Alcorcon")</f>
        <v>Diagonal Alcorcon</v>
      </c>
      <c r="M232" s="16" t="str">
        <f ca="1">IFERROR(__xludf.DUMMYFUNCTION("""COMPUTED_VALUE"""),"ESP")</f>
        <v>ESP</v>
      </c>
      <c r="N232" s="16" t="str">
        <f ca="1">IFERROR(__xludf.DUMMYFUNCTION("""COMPUTED_VALUE"""),"Zepter")</f>
        <v>Zepter</v>
      </c>
      <c r="O232" s="8" t="str">
        <f ca="1">IFERROR(__xludf.DUMMYFUNCTION("""COMPUTED_VALUE"""),"ESTEVEZ")</f>
        <v>ESTEVEZ</v>
      </c>
      <c r="P232" s="8">
        <f ca="1">IFERROR(__xludf.DUMMYFUNCTION("""COMPUTED_VALUE"""),82)</f>
        <v>82</v>
      </c>
      <c r="Q232" s="8">
        <f ca="1">IFERROR(__xludf.DUMMYFUNCTION("""COMPUTED_VALUE"""),8)</f>
        <v>8</v>
      </c>
      <c r="R232" s="8">
        <f ca="1">IFERROR(__xludf.DUMMYFUNCTION("""COMPUTED_VALUE"""),656)</f>
        <v>656</v>
      </c>
      <c r="S232" s="8">
        <f ca="1">IFERROR(__xludf.DUMMYFUNCTION("""COMPUTED_VALUE"""),12.8)</f>
        <v>12.8</v>
      </c>
      <c r="T232" s="8">
        <f ca="1">IFERROR(__xludf.DUMMYFUNCTION("""COMPUTED_VALUE"""),668.8)</f>
        <v>668.8</v>
      </c>
      <c r="U232" s="8"/>
      <c r="V232" s="8"/>
      <c r="W232" s="8"/>
      <c r="X232" s="8"/>
      <c r="Y232" s="8"/>
      <c r="Z232" s="37" t="str">
        <f ca="1">IFERROR(__xludf.DUMMYFUNCTION("""COMPUTED_VALUE"""),"LH1407")</f>
        <v>LH1407</v>
      </c>
      <c r="AA232" s="37" t="str">
        <f ca="1">IFERROR(__xludf.DUMMYFUNCTION("""COMPUTED_VALUE"""),"27/10/2024")</f>
        <v>27/10/2024</v>
      </c>
      <c r="AB232" s="59">
        <f ca="1">IFERROR(__xludf.DUMMYFUNCTION("""COMPUTED_VALUE"""),0.569444444444444)</f>
        <v>0.56944444444444398</v>
      </c>
    </row>
    <row r="233" spans="1:28" ht="14.55" customHeight="1" x14ac:dyDescent="0.3">
      <c r="A233" s="8">
        <v>13</v>
      </c>
      <c r="B233" s="8"/>
      <c r="C233" s="8"/>
      <c r="D233" s="8" t="str">
        <f ca="1">IFERROR(__xludf.DUMMYFUNCTION("""COMPUTED_VALUE"""),"14/08/2024")</f>
        <v>14/08/2024</v>
      </c>
      <c r="E233" s="16" t="str">
        <f ca="1">IFERROR(__xludf.DUMMYFUNCTION("""COMPUTED_VALUE"""),"Player")</f>
        <v>Player</v>
      </c>
      <c r="F233" s="8" t="str">
        <f ca="1">IFERROR(__xludf.DUMMYFUNCTION("""COMPUTED_VALUE"""),"Bruch, Jochen")</f>
        <v>Bruch, Jochen</v>
      </c>
      <c r="G233" s="16" t="str">
        <f ca="1">IFERROR(__xludf.DUMMYFUNCTION("""COMPUTED_VALUE"""),"GER")</f>
        <v>GER</v>
      </c>
      <c r="H233" s="8"/>
      <c r="I233" s="8">
        <f ca="1">IFERROR(__xludf.DUMMYFUNCTION("""COMPUTED_VALUE"""),100)</f>
        <v>100</v>
      </c>
      <c r="J233" s="8"/>
      <c r="K233" s="8"/>
      <c r="L233" s="8" t="str">
        <f ca="1">IFERROR(__xludf.DUMMYFUNCTION("""COMPUTED_VALUE"""),"Differdange")</f>
        <v>Differdange</v>
      </c>
      <c r="M233" s="16" t="str">
        <f ca="1">IFERROR(__xludf.DUMMYFUNCTION("""COMPUTED_VALUE"""),"LUX")</f>
        <v>LUX</v>
      </c>
      <c r="N233" s="16" t="str">
        <f ca="1">IFERROR(__xludf.DUMMYFUNCTION("""COMPUTED_VALUE"""),"Fontana")</f>
        <v>Fontana</v>
      </c>
      <c r="O233" s="8" t="str">
        <f ca="1">IFERROR(__xludf.DUMMYFUNCTION("""COMPUTED_VALUE"""),"already reserved PH20280759; Bruch Doris")</f>
        <v>already reserved PH20280759; Bruch Doris</v>
      </c>
      <c r="P233" s="8">
        <f ca="1">IFERROR(__xludf.DUMMYFUNCTION("""COMPUTED_VALUE"""),84)</f>
        <v>84</v>
      </c>
      <c r="Q233" s="8">
        <f ca="1">IFERROR(__xludf.DUMMYFUNCTION("""COMPUTED_VALUE"""),8)</f>
        <v>8</v>
      </c>
      <c r="R233" s="8">
        <f ca="1">IFERROR(__xludf.DUMMYFUNCTION("""COMPUTED_VALUE"""),672)</f>
        <v>672</v>
      </c>
      <c r="S233" s="8">
        <f ca="1">IFERROR(__xludf.DUMMYFUNCTION("""COMPUTED_VALUE"""),12.8)</f>
        <v>12.8</v>
      </c>
      <c r="T233" s="8">
        <f ca="1">IFERROR(__xludf.DUMMYFUNCTION("""COMPUTED_VALUE"""),684.8)</f>
        <v>684.8</v>
      </c>
      <c r="U233" s="8"/>
      <c r="V233" s="8"/>
      <c r="W233" s="8"/>
      <c r="X233" s="8"/>
      <c r="Y233" s="8"/>
      <c r="Z233" s="37"/>
      <c r="AA233" s="37" t="str">
        <f ca="1">IFERROR(__xludf.DUMMYFUNCTION("""COMPUTED_VALUE"""),"27/10/2024")</f>
        <v>27/10/2024</v>
      </c>
      <c r="AB233" s="59">
        <f ca="1">IFERROR(__xludf.DUMMYFUNCTION("""COMPUTED_VALUE"""),0.569444444444444)</f>
        <v>0.56944444444444398</v>
      </c>
    </row>
    <row r="234" spans="1:28" ht="14.55" customHeight="1" x14ac:dyDescent="0.3">
      <c r="A234" s="8">
        <v>14</v>
      </c>
      <c r="B234" s="8"/>
      <c r="C234" s="8"/>
      <c r="D234" s="8" t="str">
        <f ca="1">IFERROR(__xludf.DUMMYFUNCTION("""COMPUTED_VALUE"""),"14/08/2024")</f>
        <v>14/08/2024</v>
      </c>
      <c r="E234" s="16" t="str">
        <f ca="1">IFERROR(__xludf.DUMMYFUNCTION("""COMPUTED_VALUE"""),"Player")</f>
        <v>Player</v>
      </c>
      <c r="F234" s="8" t="str">
        <f ca="1">IFERROR(__xludf.DUMMYFUNCTION("""COMPUTED_VALUE"""),"Barthel, Ansgar")</f>
        <v>Barthel, Ansgar</v>
      </c>
      <c r="G234" s="16" t="str">
        <f ca="1">IFERROR(__xludf.DUMMYFUNCTION("""COMPUTED_VALUE"""),"GER")</f>
        <v>GER</v>
      </c>
      <c r="H234" s="8"/>
      <c r="I234" s="8">
        <f ca="1">IFERROR(__xludf.DUMMYFUNCTION("""COMPUTED_VALUE"""),100)</f>
        <v>100</v>
      </c>
      <c r="J234" s="8"/>
      <c r="K234" s="8"/>
      <c r="L234" s="8" t="str">
        <f ca="1">IFERROR(__xludf.DUMMYFUNCTION("""COMPUTED_VALUE"""),"Differdange")</f>
        <v>Differdange</v>
      </c>
      <c r="M234" s="16" t="str">
        <f ca="1">IFERROR(__xludf.DUMMYFUNCTION("""COMPUTED_VALUE"""),"LUX")</f>
        <v>LUX</v>
      </c>
      <c r="N234" s="16" t="str">
        <f ca="1">IFERROR(__xludf.DUMMYFUNCTION("""COMPUTED_VALUE"""),"Fontana")</f>
        <v>Fontana</v>
      </c>
      <c r="O234" s="8"/>
      <c r="P234" s="8">
        <f ca="1">IFERROR(__xludf.DUMMYFUNCTION("""COMPUTED_VALUE"""),104)</f>
        <v>104</v>
      </c>
      <c r="Q234" s="8">
        <f ca="1">IFERROR(__xludf.DUMMYFUNCTION("""COMPUTED_VALUE"""),8)</f>
        <v>8</v>
      </c>
      <c r="R234" s="8">
        <f ca="1">IFERROR(__xludf.DUMMYFUNCTION("""COMPUTED_VALUE"""),832)</f>
        <v>832</v>
      </c>
      <c r="S234" s="8">
        <f ca="1">IFERROR(__xludf.DUMMYFUNCTION("""COMPUTED_VALUE"""),12.8)</f>
        <v>12.8</v>
      </c>
      <c r="T234" s="8">
        <f ca="1">IFERROR(__xludf.DUMMYFUNCTION("""COMPUTED_VALUE"""),844.8)</f>
        <v>844.8</v>
      </c>
      <c r="U234" s="8"/>
      <c r="V234" s="8"/>
      <c r="W234" s="8"/>
      <c r="X234" s="8"/>
      <c r="Y234" s="8"/>
      <c r="Z234" s="37"/>
      <c r="AA234" s="37" t="str">
        <f ca="1">IFERROR(__xludf.DUMMYFUNCTION("""COMPUTED_VALUE"""),"27/10/2024")</f>
        <v>27/10/2024</v>
      </c>
      <c r="AB234" s="59">
        <f ca="1">IFERROR(__xludf.DUMMYFUNCTION("""COMPUTED_VALUE"""),0.569444444444444)</f>
        <v>0.56944444444444398</v>
      </c>
    </row>
    <row r="235" spans="1:28" ht="14.55" customHeight="1" x14ac:dyDescent="0.3">
      <c r="A235" s="8">
        <v>15</v>
      </c>
      <c r="B235" s="8"/>
      <c r="C235" s="8"/>
      <c r="D235" s="8" t="str">
        <f ca="1">IFERROR(__xludf.DUMMYFUNCTION("""COMPUTED_VALUE"""),"14/08/2024")</f>
        <v>14/08/2024</v>
      </c>
      <c r="E235" s="16" t="s">
        <v>0</v>
      </c>
      <c r="F235" s="8" t="str">
        <f ca="1">IFERROR(__xludf.DUMMYFUNCTION("""COMPUTED_VALUE"""),"Bruch, Doris")</f>
        <v>Bruch, Doris</v>
      </c>
      <c r="G235" s="16"/>
      <c r="H235" s="8"/>
      <c r="I235" s="8">
        <f ca="1">IFERROR(__xludf.DUMMYFUNCTION("""COMPUTED_VALUE"""),100)</f>
        <v>100</v>
      </c>
      <c r="J235" s="8"/>
      <c r="K235" s="8"/>
      <c r="L235" s="8" t="str">
        <f ca="1">IFERROR(__xludf.DUMMYFUNCTION("""COMPUTED_VALUE"""),"Differdange")</f>
        <v>Differdange</v>
      </c>
      <c r="M235" s="16" t="str">
        <f ca="1">IFERROR(__xludf.DUMMYFUNCTION("""COMPUTED_VALUE"""),"LUX")</f>
        <v>LUX</v>
      </c>
      <c r="N235" s="16" t="str">
        <f ca="1">IFERROR(__xludf.DUMMYFUNCTION("""COMPUTED_VALUE"""),"Fontana")</f>
        <v>Fontana</v>
      </c>
      <c r="O235" s="8" t="str">
        <f ca="1">IFERROR(__xludf.DUMMYFUNCTION("""COMPUTED_VALUE"""),"already reserved PH20280759; Bruch Jochen")</f>
        <v>already reserved PH20280759; Bruch Jochen</v>
      </c>
      <c r="P235" s="8">
        <f ca="1">IFERROR(__xludf.DUMMYFUNCTION("""COMPUTED_VALUE"""),84)</f>
        <v>84</v>
      </c>
      <c r="Q235" s="8">
        <f ca="1">IFERROR(__xludf.DUMMYFUNCTION("""COMPUTED_VALUE"""),8)</f>
        <v>8</v>
      </c>
      <c r="R235" s="8">
        <f ca="1">IFERROR(__xludf.DUMMYFUNCTION("""COMPUTED_VALUE"""),672)</f>
        <v>672</v>
      </c>
      <c r="S235" s="8">
        <f ca="1">IFERROR(__xludf.DUMMYFUNCTION("""COMPUTED_VALUE"""),12.8)</f>
        <v>12.8</v>
      </c>
      <c r="T235" s="8">
        <f ca="1">IFERROR(__xludf.DUMMYFUNCTION("""COMPUTED_VALUE"""),684.8)</f>
        <v>684.8</v>
      </c>
      <c r="U235" s="8"/>
      <c r="V235" s="8"/>
      <c r="W235" s="8"/>
      <c r="X235" s="8"/>
      <c r="Y235" s="8"/>
      <c r="Z235" s="37"/>
      <c r="AA235" s="37" t="str">
        <f ca="1">IFERROR(__xludf.DUMMYFUNCTION("""COMPUTED_VALUE"""),"27/10/2024")</f>
        <v>27/10/2024</v>
      </c>
      <c r="AB235" s="59">
        <f ca="1">IFERROR(__xludf.DUMMYFUNCTION("""COMPUTED_VALUE"""),0.569444444444444)</f>
        <v>0.56944444444444398</v>
      </c>
    </row>
    <row r="236" spans="1:28" ht="14.55" customHeight="1" x14ac:dyDescent="0.3">
      <c r="A236" s="8">
        <v>16</v>
      </c>
      <c r="B236" s="8"/>
      <c r="C236" s="8"/>
      <c r="D236" s="8"/>
      <c r="E236" s="16" t="str">
        <f ca="1">IFERROR(__xludf.DUMMYFUNCTION("""COMPUTED_VALUE"""),"Player")</f>
        <v>Player</v>
      </c>
      <c r="F236" s="8" t="str">
        <f ca="1">IFERROR(__xludf.DUMMYFUNCTION("""COMPUTED_VALUE"""),"Babiy, Olga")</f>
        <v>Babiy, Olga</v>
      </c>
      <c r="G236" s="8" t="str">
        <f ca="1">IFERROR(__xludf.DUMMYFUNCTION("""COMPUTED_VALUE"""),"UKR")</f>
        <v>UKR</v>
      </c>
      <c r="H236" s="8"/>
      <c r="I236" s="8">
        <f ca="1">IFERROR(__xludf.DUMMYFUNCTION("""COMPUTED_VALUE"""),100)</f>
        <v>100</v>
      </c>
      <c r="J236" s="8"/>
      <c r="K236" s="8"/>
      <c r="L236" s="8" t="str">
        <f ca="1">IFERROR(__xludf.DUMMYFUNCTION("""COMPUTED_VALUE"""),"Gambit Bonnevoie")</f>
        <v>Gambit Bonnevoie</v>
      </c>
      <c r="M236" s="8" t="str">
        <f ca="1">IFERROR(__xludf.DUMMYFUNCTION("""COMPUTED_VALUE"""),"LUX")</f>
        <v>LUX</v>
      </c>
      <c r="N236" s="16" t="str">
        <f ca="1">IFERROR(__xludf.DUMMYFUNCTION("""COMPUTED_VALUE"""),"Fontana")</f>
        <v>Fontana</v>
      </c>
      <c r="O236" s="8" t="str">
        <f ca="1">IFERROR(__xludf.DUMMYFUNCTION("""COMPUTED_VALUE"""),"Double")</f>
        <v>Double</v>
      </c>
      <c r="P236" s="8" t="str">
        <f ca="1">IFERROR(__xludf.DUMMYFUNCTION("""COMPUTED_VALUE"""),"OSMAK Yuliia")</f>
        <v>OSMAK Yuliia</v>
      </c>
      <c r="Q236" s="8">
        <f ca="1">IFERROR(__xludf.DUMMYFUNCTION("""COMPUTED_VALUE"""),8)</f>
        <v>8</v>
      </c>
      <c r="R236" s="8">
        <f ca="1">IFERROR(__xludf.DUMMYFUNCTION("""COMPUTED_VALUE"""),672)</f>
        <v>672</v>
      </c>
      <c r="S236" s="8">
        <f ca="1">IFERROR(__xludf.DUMMYFUNCTION("""COMPUTED_VALUE"""),12.8)</f>
        <v>12.8</v>
      </c>
      <c r="T236" s="8">
        <f ca="1">IFERROR(__xludf.DUMMYFUNCTION("""COMPUTED_VALUE"""),684.8)</f>
        <v>684.8</v>
      </c>
      <c r="U236" s="8"/>
      <c r="V236" s="8"/>
      <c r="W236" s="8"/>
      <c r="X236" s="8"/>
      <c r="Y236" s="8"/>
      <c r="Z236" s="37" t="str">
        <f ca="1">IFERROR(__xludf.DUMMYFUNCTION("""COMPUTED_VALUE"""),"LH1407")</f>
        <v>LH1407</v>
      </c>
      <c r="AA236" s="37" t="str">
        <f ca="1">IFERROR(__xludf.DUMMYFUNCTION("""COMPUTED_VALUE"""),"27/10/2024")</f>
        <v>27/10/2024</v>
      </c>
      <c r="AB236" s="64">
        <f ca="1">IFERROR(__xludf.DUMMYFUNCTION("""COMPUTED_VALUE"""),0.569444444444444)</f>
        <v>0.56944444444444398</v>
      </c>
    </row>
    <row r="237" spans="1:28" ht="14.55" customHeight="1" x14ac:dyDescent="0.3">
      <c r="A237" s="8">
        <v>17</v>
      </c>
      <c r="B237" s="8"/>
      <c r="C237" s="8"/>
      <c r="D237" s="13">
        <f ca="1">IFERROR(__xludf.DUMMYFUNCTION("""COMPUTED_VALUE"""),45542)</f>
        <v>45542</v>
      </c>
      <c r="E237" s="16" t="str">
        <f ca="1">IFERROR(__xludf.DUMMYFUNCTION("""COMPUTED_VALUE"""),"Player")</f>
        <v>Player</v>
      </c>
      <c r="F237" s="8" t="str">
        <f ca="1">IFERROR(__xludf.DUMMYFUNCTION("""COMPUTED_VALUE"""),"Filipovic, Slobodan J")</f>
        <v>Filipovic, Slobodan J</v>
      </c>
      <c r="G237" s="16" t="str">
        <f ca="1">IFERROR(__xludf.DUMMYFUNCTION("""COMPUTED_VALUE"""),"SRB")</f>
        <v>SRB</v>
      </c>
      <c r="H237" s="8"/>
      <c r="I237" s="8">
        <f ca="1">IFERROR(__xludf.DUMMYFUNCTION("""COMPUTED_VALUE"""),100)</f>
        <v>100</v>
      </c>
      <c r="J237" s="8"/>
      <c r="K237" s="8"/>
      <c r="L237" s="8" t="str">
        <f ca="1">IFERROR(__xludf.DUMMYFUNCTION("""COMPUTED_VALUE"""),"Gambit Bonnevoie I")</f>
        <v>Gambit Bonnevoie I</v>
      </c>
      <c r="M237" s="16" t="str">
        <f ca="1">IFERROR(__xludf.DUMMYFUNCTION("""COMPUTED_VALUE"""),"LUX")</f>
        <v>LUX</v>
      </c>
      <c r="N237" s="16" t="str">
        <f ca="1">IFERROR(__xludf.DUMMYFUNCTION("""COMPUTED_VALUE"""),"Fontana")</f>
        <v>Fontana</v>
      </c>
      <c r="O237" s="8"/>
      <c r="P237" s="8">
        <f ca="1">IFERROR(__xludf.DUMMYFUNCTION("""COMPUTED_VALUE"""),104)</f>
        <v>104</v>
      </c>
      <c r="Q237" s="8">
        <f ca="1">IFERROR(__xludf.DUMMYFUNCTION("""COMPUTED_VALUE"""),8)</f>
        <v>8</v>
      </c>
      <c r="R237" s="8">
        <f ca="1">IFERROR(__xludf.DUMMYFUNCTION("""COMPUTED_VALUE"""),832)</f>
        <v>832</v>
      </c>
      <c r="S237" s="8">
        <f ca="1">IFERROR(__xludf.DUMMYFUNCTION("""COMPUTED_VALUE"""),12.8)</f>
        <v>12.8</v>
      </c>
      <c r="T237" s="8">
        <f ca="1">IFERROR(__xludf.DUMMYFUNCTION("""COMPUTED_VALUE"""),844.8)</f>
        <v>844.8</v>
      </c>
      <c r="U237" s="8"/>
      <c r="V237" s="8"/>
      <c r="W237" s="8"/>
      <c r="X237" s="8"/>
      <c r="Y237" s="8"/>
      <c r="Z237" s="37" t="str">
        <f ca="1">IFERROR(__xludf.DUMMYFUNCTION("""COMPUTED_VALUE"""),"LH1407")</f>
        <v>LH1407</v>
      </c>
      <c r="AA237" s="37" t="str">
        <f ca="1">IFERROR(__xludf.DUMMYFUNCTION("""COMPUTED_VALUE"""),"27/10/2024")</f>
        <v>27/10/2024</v>
      </c>
      <c r="AB237" s="59">
        <f ca="1">IFERROR(__xludf.DUMMYFUNCTION("""COMPUTED_VALUE"""),0.569444444444444)</f>
        <v>0.56944444444444398</v>
      </c>
    </row>
    <row r="238" spans="1:28" ht="14.55" customHeight="1" x14ac:dyDescent="0.3">
      <c r="A238" s="8">
        <v>18</v>
      </c>
      <c r="B238" s="8"/>
      <c r="C238" s="8"/>
      <c r="D238" s="13">
        <f ca="1">IFERROR(__xludf.DUMMYFUNCTION("""COMPUTED_VALUE"""),45542)</f>
        <v>45542</v>
      </c>
      <c r="E238" s="16" t="str">
        <f ca="1">IFERROR(__xludf.DUMMYFUNCTION("""COMPUTED_VALUE"""),"Player")</f>
        <v>Player</v>
      </c>
      <c r="F238" s="8" t="str">
        <f ca="1">IFERROR(__xludf.DUMMYFUNCTION("""COMPUTED_VALUE"""),"Bednarich, Jan")</f>
        <v>Bednarich, Jan</v>
      </c>
      <c r="G238" s="16" t="str">
        <f ca="1">IFERROR(__xludf.DUMMYFUNCTION("""COMPUTED_VALUE"""),"ITA")</f>
        <v>ITA</v>
      </c>
      <c r="H238" s="8"/>
      <c r="I238" s="8">
        <f ca="1">IFERROR(__xludf.DUMMYFUNCTION("""COMPUTED_VALUE"""),100)</f>
        <v>100</v>
      </c>
      <c r="J238" s="8"/>
      <c r="K238" s="8"/>
      <c r="L238" s="8" t="str">
        <f ca="1">IFERROR(__xludf.DUMMYFUNCTION("""COMPUTED_VALUE"""),"Gambit Bonnevoie I")</f>
        <v>Gambit Bonnevoie I</v>
      </c>
      <c r="M238" s="16" t="str">
        <f ca="1">IFERROR(__xludf.DUMMYFUNCTION("""COMPUTED_VALUE"""),"LUX")</f>
        <v>LUX</v>
      </c>
      <c r="N238" s="16" t="str">
        <f ca="1">IFERROR(__xludf.DUMMYFUNCTION("""COMPUTED_VALUE"""),"Fontana")</f>
        <v>Fontana</v>
      </c>
      <c r="O238" s="8"/>
      <c r="P238" s="8">
        <f ca="1">IFERROR(__xludf.DUMMYFUNCTION("""COMPUTED_VALUE"""),104)</f>
        <v>104</v>
      </c>
      <c r="Q238" s="8">
        <f ca="1">IFERROR(__xludf.DUMMYFUNCTION("""COMPUTED_VALUE"""),8)</f>
        <v>8</v>
      </c>
      <c r="R238" s="8">
        <f ca="1">IFERROR(__xludf.DUMMYFUNCTION("""COMPUTED_VALUE"""),832)</f>
        <v>832</v>
      </c>
      <c r="S238" s="8">
        <f ca="1">IFERROR(__xludf.DUMMYFUNCTION("""COMPUTED_VALUE"""),12.8)</f>
        <v>12.8</v>
      </c>
      <c r="T238" s="8">
        <f ca="1">IFERROR(__xludf.DUMMYFUNCTION("""COMPUTED_VALUE"""),844.8)</f>
        <v>844.8</v>
      </c>
      <c r="U238" s="8"/>
      <c r="V238" s="8"/>
      <c r="W238" s="8"/>
      <c r="X238" s="8"/>
      <c r="Y238" s="8"/>
      <c r="Z238" s="37" t="str">
        <f ca="1">IFERROR(__xludf.DUMMYFUNCTION("""COMPUTED_VALUE"""),"LH 1407")</f>
        <v>LH 1407</v>
      </c>
      <c r="AA238" s="37" t="str">
        <f ca="1">IFERROR(__xludf.DUMMYFUNCTION("""COMPUTED_VALUE"""),"27/10/2024")</f>
        <v>27/10/2024</v>
      </c>
      <c r="AB238" s="59">
        <f ca="1">IFERROR(__xludf.DUMMYFUNCTION("""COMPUTED_VALUE"""),0.569444444444444)</f>
        <v>0.56944444444444398</v>
      </c>
    </row>
    <row r="239" spans="1:28" ht="14.55" customHeight="1" x14ac:dyDescent="0.3">
      <c r="A239" s="8">
        <v>19</v>
      </c>
      <c r="B239" s="8"/>
      <c r="C239" s="8"/>
      <c r="D239" s="13">
        <f ca="1">IFERROR(__xludf.DUMMYFUNCTION("""COMPUTED_VALUE"""),45542)</f>
        <v>45542</v>
      </c>
      <c r="E239" s="16" t="s">
        <v>0</v>
      </c>
      <c r="F239" s="8" t="str">
        <f ca="1">IFERROR(__xludf.DUMMYFUNCTION("""COMPUTED_VALUE"""),"Graudins, Mareks")</f>
        <v>Graudins, Mareks</v>
      </c>
      <c r="G239" s="16" t="str">
        <f ca="1">IFERROR(__xludf.DUMMYFUNCTION("""COMPUTED_VALUE"""),"LUX")</f>
        <v>LUX</v>
      </c>
      <c r="H239" s="8"/>
      <c r="I239" s="8">
        <f ca="1">IFERROR(__xludf.DUMMYFUNCTION("""COMPUTED_VALUE"""),100)</f>
        <v>100</v>
      </c>
      <c r="J239" s="8"/>
      <c r="K239" s="8"/>
      <c r="L239" s="8" t="str">
        <f ca="1">IFERROR(__xludf.DUMMYFUNCTION("""COMPUTED_VALUE"""),"Gambit Bonnevoie I")</f>
        <v>Gambit Bonnevoie I</v>
      </c>
      <c r="M239" s="16" t="str">
        <f ca="1">IFERROR(__xludf.DUMMYFUNCTION("""COMPUTED_VALUE"""),"LUX")</f>
        <v>LUX</v>
      </c>
      <c r="N239" s="16" t="str">
        <f ca="1">IFERROR(__xludf.DUMMYFUNCTION("""COMPUTED_VALUE"""),"Fontana")</f>
        <v>Fontana</v>
      </c>
      <c r="O239" s="8"/>
      <c r="P239" s="8">
        <f ca="1">IFERROR(__xludf.DUMMYFUNCTION("""COMPUTED_VALUE"""),104)</f>
        <v>104</v>
      </c>
      <c r="Q239" s="8">
        <f ca="1">IFERROR(__xludf.DUMMYFUNCTION("""COMPUTED_VALUE"""),8)</f>
        <v>8</v>
      </c>
      <c r="R239" s="8">
        <f ca="1">IFERROR(__xludf.DUMMYFUNCTION("""COMPUTED_VALUE"""),832)</f>
        <v>832</v>
      </c>
      <c r="S239" s="8">
        <f ca="1">IFERROR(__xludf.DUMMYFUNCTION("""COMPUTED_VALUE"""),12.8)</f>
        <v>12.8</v>
      </c>
      <c r="T239" s="8">
        <f ca="1">IFERROR(__xludf.DUMMYFUNCTION("""COMPUTED_VALUE"""),844.8)</f>
        <v>844.8</v>
      </c>
      <c r="U239" s="8"/>
      <c r="V239" s="8"/>
      <c r="W239" s="8"/>
      <c r="X239" s="8"/>
      <c r="Y239" s="8"/>
      <c r="Z239" s="37" t="str">
        <f ca="1">IFERROR(__xludf.DUMMYFUNCTION("""COMPUTED_VALUE"""),"LH 1407")</f>
        <v>LH 1407</v>
      </c>
      <c r="AA239" s="37" t="str">
        <f ca="1">IFERROR(__xludf.DUMMYFUNCTION("""COMPUTED_VALUE"""),"27/10/2024")</f>
        <v>27/10/2024</v>
      </c>
      <c r="AB239" s="59">
        <f ca="1">IFERROR(__xludf.DUMMYFUNCTION("""COMPUTED_VALUE"""),0.569444444444444)</f>
        <v>0.56944444444444398</v>
      </c>
    </row>
    <row r="240" spans="1:28" ht="14.55" customHeight="1" x14ac:dyDescent="0.3">
      <c r="A240" s="8">
        <v>20</v>
      </c>
      <c r="B240" s="8"/>
      <c r="C240" s="8"/>
      <c r="D240" s="13">
        <f ca="1">IFERROR(__xludf.DUMMYFUNCTION("""COMPUTED_VALUE"""),45542)</f>
        <v>45542</v>
      </c>
      <c r="E240" s="16" t="str">
        <f ca="1">IFERROR(__xludf.DUMMYFUNCTION("""COMPUTED_VALUE"""),"Player")</f>
        <v>Player</v>
      </c>
      <c r="F240" s="8" t="str">
        <f ca="1">IFERROR(__xludf.DUMMYFUNCTION("""COMPUTED_VALUE"""),"Stern, Geoffrey")</f>
        <v>Stern, Geoffrey</v>
      </c>
      <c r="G240" s="16" t="str">
        <f ca="1">IFERROR(__xludf.DUMMYFUNCTION("""COMPUTED_VALUE"""),"LUX")</f>
        <v>LUX</v>
      </c>
      <c r="H240" s="8"/>
      <c r="I240" s="8">
        <f ca="1">IFERROR(__xludf.DUMMYFUNCTION("""COMPUTED_VALUE"""),100)</f>
        <v>100</v>
      </c>
      <c r="J240" s="8"/>
      <c r="K240" s="8"/>
      <c r="L240" s="8" t="str">
        <f ca="1">IFERROR(__xludf.DUMMYFUNCTION("""COMPUTED_VALUE"""),"Gambit Bonnevoie II")</f>
        <v>Gambit Bonnevoie II</v>
      </c>
      <c r="M240" s="16" t="str">
        <f ca="1">IFERROR(__xludf.DUMMYFUNCTION("""COMPUTED_VALUE"""),"LUX")</f>
        <v>LUX</v>
      </c>
      <c r="N240" s="16" t="str">
        <f ca="1">IFERROR(__xludf.DUMMYFUNCTION("""COMPUTED_VALUE"""),"Fontana")</f>
        <v>Fontana</v>
      </c>
      <c r="O240" s="8"/>
      <c r="P240" s="8">
        <f ca="1">IFERROR(__xludf.DUMMYFUNCTION("""COMPUTED_VALUE"""),104)</f>
        <v>104</v>
      </c>
      <c r="Q240" s="8">
        <f ca="1">IFERROR(__xludf.DUMMYFUNCTION("""COMPUTED_VALUE"""),8)</f>
        <v>8</v>
      </c>
      <c r="R240" s="8">
        <f ca="1">IFERROR(__xludf.DUMMYFUNCTION("""COMPUTED_VALUE"""),832)</f>
        <v>832</v>
      </c>
      <c r="S240" s="8">
        <f ca="1">IFERROR(__xludf.DUMMYFUNCTION("""COMPUTED_VALUE"""),12.8)</f>
        <v>12.8</v>
      </c>
      <c r="T240" s="8">
        <f ca="1">IFERROR(__xludf.DUMMYFUNCTION("""COMPUTED_VALUE"""),844.8)</f>
        <v>844.8</v>
      </c>
      <c r="U240" s="8"/>
      <c r="V240" s="8"/>
      <c r="W240" s="8"/>
      <c r="X240" s="8"/>
      <c r="Y240" s="8"/>
      <c r="Z240" s="37" t="str">
        <f ca="1">IFERROR(__xludf.DUMMYFUNCTION("""COMPUTED_VALUE"""),"LH1407")</f>
        <v>LH1407</v>
      </c>
      <c r="AA240" s="37" t="str">
        <f ca="1">IFERROR(__xludf.DUMMYFUNCTION("""COMPUTED_VALUE"""),"27/10/2024")</f>
        <v>27/10/2024</v>
      </c>
      <c r="AB240" s="59">
        <f ca="1">IFERROR(__xludf.DUMMYFUNCTION("""COMPUTED_VALUE"""),0.569444444444444)</f>
        <v>0.56944444444444398</v>
      </c>
    </row>
    <row r="241" spans="1:28" ht="14.55" customHeight="1" x14ac:dyDescent="0.3">
      <c r="A241" s="8">
        <v>21</v>
      </c>
      <c r="B241" s="8"/>
      <c r="C241" s="8"/>
      <c r="D241" s="13">
        <f ca="1">IFERROR(__xludf.DUMMYFUNCTION("""COMPUTED_VALUE"""),45542)</f>
        <v>45542</v>
      </c>
      <c r="E241" s="16" t="str">
        <f ca="1">IFERROR(__xludf.DUMMYFUNCTION("""COMPUTED_VALUE"""),"Player")</f>
        <v>Player</v>
      </c>
      <c r="F241" s="8" t="str">
        <f ca="1">IFERROR(__xludf.DUMMYFUNCTION("""COMPUTED_VALUE"""),"Virbalis, Rytis")</f>
        <v>Virbalis, Rytis</v>
      </c>
      <c r="G241" s="16" t="str">
        <f ca="1">IFERROR(__xludf.DUMMYFUNCTION("""COMPUTED_VALUE"""),"LUX")</f>
        <v>LUX</v>
      </c>
      <c r="H241" s="8"/>
      <c r="I241" s="8">
        <f ca="1">IFERROR(__xludf.DUMMYFUNCTION("""COMPUTED_VALUE"""),100)</f>
        <v>100</v>
      </c>
      <c r="J241" s="8"/>
      <c r="K241" s="8"/>
      <c r="L241" s="8" t="str">
        <f ca="1">IFERROR(__xludf.DUMMYFUNCTION("""COMPUTED_VALUE"""),"Gambit Bonnevoie II")</f>
        <v>Gambit Bonnevoie II</v>
      </c>
      <c r="M241" s="16" t="str">
        <f ca="1">IFERROR(__xludf.DUMMYFUNCTION("""COMPUTED_VALUE"""),"LUX")</f>
        <v>LUX</v>
      </c>
      <c r="N241" s="16" t="str">
        <f ca="1">IFERROR(__xludf.DUMMYFUNCTION("""COMPUTED_VALUE"""),"Fontana")</f>
        <v>Fontana</v>
      </c>
      <c r="O241" s="8" t="str">
        <f ca="1">IFERROR(__xludf.DUMMYFUNCTION("""COMPUTED_VALUE"""),"Virbaliene, Rita")</f>
        <v>Virbaliene, Rita</v>
      </c>
      <c r="P241" s="8">
        <f ca="1">IFERROR(__xludf.DUMMYFUNCTION("""COMPUTED_VALUE"""),84)</f>
        <v>84</v>
      </c>
      <c r="Q241" s="8">
        <f ca="1">IFERROR(__xludf.DUMMYFUNCTION("""COMPUTED_VALUE"""),8)</f>
        <v>8</v>
      </c>
      <c r="R241" s="8">
        <f ca="1">IFERROR(__xludf.DUMMYFUNCTION("""COMPUTED_VALUE"""),672)</f>
        <v>672</v>
      </c>
      <c r="S241" s="8">
        <f ca="1">IFERROR(__xludf.DUMMYFUNCTION("""COMPUTED_VALUE"""),12.8)</f>
        <v>12.8</v>
      </c>
      <c r="T241" s="8">
        <f ca="1">IFERROR(__xludf.DUMMYFUNCTION("""COMPUTED_VALUE"""),684.8)</f>
        <v>684.8</v>
      </c>
      <c r="U241" s="8"/>
      <c r="V241" s="8"/>
      <c r="W241" s="8"/>
      <c r="X241" s="8"/>
      <c r="Y241" s="8"/>
      <c r="Z241" s="37" t="str">
        <f ca="1">IFERROR(__xludf.DUMMYFUNCTION("""COMPUTED_VALUE"""),"LH1407")</f>
        <v>LH1407</v>
      </c>
      <c r="AA241" s="37" t="str">
        <f ca="1">IFERROR(__xludf.DUMMYFUNCTION("""COMPUTED_VALUE"""),"27/10/2024")</f>
        <v>27/10/2024</v>
      </c>
      <c r="AB241" s="59">
        <f ca="1">IFERROR(__xludf.DUMMYFUNCTION("""COMPUTED_VALUE"""),0.569444444444444)</f>
        <v>0.56944444444444398</v>
      </c>
    </row>
    <row r="242" spans="1:28" ht="14.55" customHeight="1" x14ac:dyDescent="0.3">
      <c r="A242" s="8">
        <v>22</v>
      </c>
      <c r="B242" s="8"/>
      <c r="C242" s="8"/>
      <c r="D242" s="13">
        <f ca="1">IFERROR(__xludf.DUMMYFUNCTION("""COMPUTED_VALUE"""),45542)</f>
        <v>45542</v>
      </c>
      <c r="E242" s="16" t="s">
        <v>0</v>
      </c>
      <c r="F242" s="8" t="str">
        <f ca="1">IFERROR(__xludf.DUMMYFUNCTION("""COMPUTED_VALUE"""),"Virbaliene, Rita")</f>
        <v>Virbaliene, Rita</v>
      </c>
      <c r="G242" s="16" t="str">
        <f ca="1">IFERROR(__xludf.DUMMYFUNCTION("""COMPUTED_VALUE"""),"LTU")</f>
        <v>LTU</v>
      </c>
      <c r="H242" s="8"/>
      <c r="I242" s="8">
        <f ca="1">IFERROR(__xludf.DUMMYFUNCTION("""COMPUTED_VALUE"""),100)</f>
        <v>100</v>
      </c>
      <c r="J242" s="8"/>
      <c r="K242" s="8"/>
      <c r="L242" s="8" t="str">
        <f ca="1">IFERROR(__xludf.DUMMYFUNCTION("""COMPUTED_VALUE"""),"Gambit Bonnevoie II")</f>
        <v>Gambit Bonnevoie II</v>
      </c>
      <c r="M242" s="16" t="str">
        <f ca="1">IFERROR(__xludf.DUMMYFUNCTION("""COMPUTED_VALUE"""),"LUX")</f>
        <v>LUX</v>
      </c>
      <c r="N242" s="16" t="str">
        <f ca="1">IFERROR(__xludf.DUMMYFUNCTION("""COMPUTED_VALUE"""),"Fontana")</f>
        <v>Fontana</v>
      </c>
      <c r="O242" s="8" t="str">
        <f ca="1">IFERROR(__xludf.DUMMYFUNCTION("""COMPUTED_VALUE"""),"Virbalis, Rytis")</f>
        <v>Virbalis, Rytis</v>
      </c>
      <c r="P242" s="8">
        <f ca="1">IFERROR(__xludf.DUMMYFUNCTION("""COMPUTED_VALUE"""),84)</f>
        <v>84</v>
      </c>
      <c r="Q242" s="8">
        <f ca="1">IFERROR(__xludf.DUMMYFUNCTION("""COMPUTED_VALUE"""),8)</f>
        <v>8</v>
      </c>
      <c r="R242" s="8">
        <f ca="1">IFERROR(__xludf.DUMMYFUNCTION("""COMPUTED_VALUE"""),672)</f>
        <v>672</v>
      </c>
      <c r="S242" s="8">
        <f ca="1">IFERROR(__xludf.DUMMYFUNCTION("""COMPUTED_VALUE"""),12.8)</f>
        <v>12.8</v>
      </c>
      <c r="T242" s="8">
        <f ca="1">IFERROR(__xludf.DUMMYFUNCTION("""COMPUTED_VALUE"""),684.8)</f>
        <v>684.8</v>
      </c>
      <c r="U242" s="8"/>
      <c r="V242" s="8"/>
      <c r="W242" s="8"/>
      <c r="X242" s="8"/>
      <c r="Y242" s="8"/>
      <c r="Z242" s="37" t="str">
        <f ca="1">IFERROR(__xludf.DUMMYFUNCTION("""COMPUTED_VALUE"""),"LH1407")</f>
        <v>LH1407</v>
      </c>
      <c r="AA242" s="37" t="str">
        <f ca="1">IFERROR(__xludf.DUMMYFUNCTION("""COMPUTED_VALUE"""),"27/10/2024")</f>
        <v>27/10/2024</v>
      </c>
      <c r="AB242" s="59">
        <f ca="1">IFERROR(__xludf.DUMMYFUNCTION("""COMPUTED_VALUE"""),0.569444444444444)</f>
        <v>0.56944444444444398</v>
      </c>
    </row>
    <row r="243" spans="1:28" ht="14.55" customHeight="1" x14ac:dyDescent="0.3">
      <c r="A243" s="8">
        <v>23</v>
      </c>
      <c r="B243" s="8"/>
      <c r="C243" s="8"/>
      <c r="D243" s="8" t="str">
        <f ca="1">IFERROR(__xludf.DUMMYFUNCTION("""COMPUTED_VALUE"""),"31/07/2024")</f>
        <v>31/07/2024</v>
      </c>
      <c r="E243" s="16" t="str">
        <f ca="1">IFERROR(__xludf.DUMMYFUNCTION("""COMPUTED_VALUE"""),"Player")</f>
        <v>Player</v>
      </c>
      <c r="F243" s="8" t="str">
        <f ca="1">IFERROR(__xludf.DUMMYFUNCTION("""COMPUTED_VALUE"""),"Colbow, Collin")</f>
        <v>Colbow, Collin</v>
      </c>
      <c r="G243" s="16" t="str">
        <f ca="1">IFERROR(__xludf.DUMMYFUNCTION("""COMPUTED_VALUE"""),"GER")</f>
        <v>GER</v>
      </c>
      <c r="H243" s="8"/>
      <c r="I243" s="8">
        <f ca="1">IFERROR(__xludf.DUMMYFUNCTION("""COMPUTED_VALUE"""),100)</f>
        <v>100</v>
      </c>
      <c r="J243" s="8"/>
      <c r="K243" s="8"/>
      <c r="L243" s="8" t="str">
        <f ca="1">IFERROR(__xludf.DUMMYFUNCTION("""COMPUTED_VALUE"""),"SV Werder Bremen")</f>
        <v>SV Werder Bremen</v>
      </c>
      <c r="M243" s="16" t="str">
        <f ca="1">IFERROR(__xludf.DUMMYFUNCTION("""COMPUTED_VALUE"""),"GER")</f>
        <v>GER</v>
      </c>
      <c r="N243" s="16" t="str">
        <f ca="1">IFERROR(__xludf.DUMMYFUNCTION("""COMPUTED_VALUE"""),"Fontana")</f>
        <v>Fontana</v>
      </c>
      <c r="O243" s="8" t="str">
        <f ca="1">IFERROR(__xludf.DUMMYFUNCTION("""COMPUTED_VALUE"""),"Wachinger")</f>
        <v>Wachinger</v>
      </c>
      <c r="P243" s="8">
        <f ca="1">IFERROR(__xludf.DUMMYFUNCTION("""COMPUTED_VALUE"""),84)</f>
        <v>84</v>
      </c>
      <c r="Q243" s="8">
        <f ca="1">IFERROR(__xludf.DUMMYFUNCTION("""COMPUTED_VALUE"""),8)</f>
        <v>8</v>
      </c>
      <c r="R243" s="8">
        <f ca="1">IFERROR(__xludf.DUMMYFUNCTION("""COMPUTED_VALUE"""),672)</f>
        <v>672</v>
      </c>
      <c r="S243" s="8">
        <f ca="1">IFERROR(__xludf.DUMMYFUNCTION("""COMPUTED_VALUE"""),12.8)</f>
        <v>12.8</v>
      </c>
      <c r="T243" s="8">
        <f ca="1">IFERROR(__xludf.DUMMYFUNCTION("""COMPUTED_VALUE"""),684.8)</f>
        <v>684.8</v>
      </c>
      <c r="U243" s="8"/>
      <c r="V243" s="8"/>
      <c r="W243" s="8"/>
      <c r="X243" s="8" t="str">
        <f ca="1">IFERROR(__xludf.DUMMYFUNCTION("""COMPUTED_VALUE"""),"standard")</f>
        <v>standard</v>
      </c>
      <c r="Y243" s="8"/>
      <c r="Z243" s="37" t="str">
        <f ca="1">IFERROR(__xludf.DUMMYFUNCTION("""COMPUTED_VALUE"""),"LH 1407")</f>
        <v>LH 1407</v>
      </c>
      <c r="AA243" s="37" t="str">
        <f ca="1">IFERROR(__xludf.DUMMYFUNCTION("""COMPUTED_VALUE"""),"27/10/2024")</f>
        <v>27/10/2024</v>
      </c>
      <c r="AB243" s="59">
        <f ca="1">IFERROR(__xludf.DUMMYFUNCTION("""COMPUTED_VALUE"""),0.569444444444444)</f>
        <v>0.56944444444444398</v>
      </c>
    </row>
    <row r="244" spans="1:28" ht="14.55" customHeight="1" x14ac:dyDescent="0.3">
      <c r="A244" s="8">
        <v>24</v>
      </c>
      <c r="B244" s="8"/>
      <c r="C244" s="8"/>
      <c r="D244" s="8" t="str">
        <f ca="1">IFERROR(__xludf.DUMMYFUNCTION("""COMPUTED_VALUE"""),"31/07/2024")</f>
        <v>31/07/2024</v>
      </c>
      <c r="E244" s="16" t="str">
        <f ca="1">IFERROR(__xludf.DUMMYFUNCTION("""COMPUTED_VALUE"""),"Player")</f>
        <v>Player</v>
      </c>
      <c r="F244" s="8" t="str">
        <f ca="1">IFERROR(__xludf.DUMMYFUNCTION("""COMPUTED_VALUE"""),"Schulze, Lara")</f>
        <v>Schulze, Lara</v>
      </c>
      <c r="G244" s="16" t="str">
        <f ca="1">IFERROR(__xludf.DUMMYFUNCTION("""COMPUTED_VALUE"""),"GER")</f>
        <v>GER</v>
      </c>
      <c r="H244" s="8"/>
      <c r="I244" s="8">
        <f ca="1">IFERROR(__xludf.DUMMYFUNCTION("""COMPUTED_VALUE"""),100)</f>
        <v>100</v>
      </c>
      <c r="J244" s="8"/>
      <c r="K244" s="8"/>
      <c r="L244" s="8" t="str">
        <f ca="1">IFERROR(__xludf.DUMMYFUNCTION("""COMPUTED_VALUE"""),"SV Werder Bremen")</f>
        <v>SV Werder Bremen</v>
      </c>
      <c r="M244" s="16" t="str">
        <f ca="1">IFERROR(__xludf.DUMMYFUNCTION("""COMPUTED_VALUE"""),"GER")</f>
        <v>GER</v>
      </c>
      <c r="N244" s="16" t="str">
        <f ca="1">IFERROR(__xludf.DUMMYFUNCTION("""COMPUTED_VALUE"""),"Fontana")</f>
        <v>Fontana</v>
      </c>
      <c r="O244" s="8"/>
      <c r="P244" s="8">
        <f ca="1">IFERROR(__xludf.DUMMYFUNCTION("""COMPUTED_VALUE"""),104)</f>
        <v>104</v>
      </c>
      <c r="Q244" s="8">
        <f ca="1">IFERROR(__xludf.DUMMYFUNCTION("""COMPUTED_VALUE"""),8)</f>
        <v>8</v>
      </c>
      <c r="R244" s="8">
        <f ca="1">IFERROR(__xludf.DUMMYFUNCTION("""COMPUTED_VALUE"""),832)</f>
        <v>832</v>
      </c>
      <c r="S244" s="8">
        <f ca="1">IFERROR(__xludf.DUMMYFUNCTION("""COMPUTED_VALUE"""),12.8)</f>
        <v>12.8</v>
      </c>
      <c r="T244" s="8">
        <f ca="1">IFERROR(__xludf.DUMMYFUNCTION("""COMPUTED_VALUE"""),844.8)</f>
        <v>844.8</v>
      </c>
      <c r="U244" s="8"/>
      <c r="V244" s="8"/>
      <c r="W244" s="8"/>
      <c r="X244" s="8"/>
      <c r="Y244" s="8"/>
      <c r="Z244" s="37" t="str">
        <f ca="1">IFERROR(__xludf.DUMMYFUNCTION("""COMPUTED_VALUE"""),"LH 1407")</f>
        <v>LH 1407</v>
      </c>
      <c r="AA244" s="37" t="str">
        <f ca="1">IFERROR(__xludf.DUMMYFUNCTION("""COMPUTED_VALUE"""),"27/10/2024")</f>
        <v>27/10/2024</v>
      </c>
      <c r="AB244" s="59">
        <f ca="1">IFERROR(__xludf.DUMMYFUNCTION("""COMPUTED_VALUE"""),0.569444444444444)</f>
        <v>0.56944444444444398</v>
      </c>
    </row>
    <row r="245" spans="1:28" ht="14.55" customHeight="1" x14ac:dyDescent="0.3">
      <c r="A245" s="8">
        <v>25</v>
      </c>
      <c r="B245" s="8"/>
      <c r="C245" s="8"/>
      <c r="D245" s="8"/>
      <c r="E245" s="16" t="str">
        <f ca="1">IFERROR(__xludf.DUMMYFUNCTION("""COMPUTED_VALUE"""),"Player")</f>
        <v>Player</v>
      </c>
      <c r="F245" s="8" t="str">
        <f ca="1">IFERROR(__xludf.DUMMYFUNCTION("""COMPUTED_VALUE"""),"Khalafova, Narmin")</f>
        <v>Khalafova, Narmin</v>
      </c>
      <c r="G245" s="8" t="str">
        <f ca="1">IFERROR(__xludf.DUMMYFUNCTION("""COMPUTED_VALUE"""),"AZE")</f>
        <v>AZE</v>
      </c>
      <c r="H245" s="8"/>
      <c r="I245" s="8">
        <f ca="1">IFERROR(__xludf.DUMMYFUNCTION("""COMPUTED_VALUE"""),100)</f>
        <v>100</v>
      </c>
      <c r="J245" s="8"/>
      <c r="K245" s="8"/>
      <c r="L245" s="8" t="str">
        <f ca="1">IFERROR(__xludf.DUMMYFUNCTION("""COMPUTED_VALUE"""),"Gambit Bonnevoie")</f>
        <v>Gambit Bonnevoie</v>
      </c>
      <c r="M245" s="8" t="str">
        <f ca="1">IFERROR(__xludf.DUMMYFUNCTION("""COMPUTED_VALUE"""),"LUX")</f>
        <v>LUX</v>
      </c>
      <c r="N245" s="16" t="str">
        <f ca="1">IFERROR(__xludf.DUMMYFUNCTION("""COMPUTED_VALUE"""),"Fontana")</f>
        <v>Fontana</v>
      </c>
      <c r="O245" s="8" t="str">
        <f ca="1">IFERROR(__xludf.DUMMYFUNCTION("""COMPUTED_VALUE"""),"Single")</f>
        <v>Single</v>
      </c>
      <c r="P245" s="8"/>
      <c r="Q245" s="8">
        <f ca="1">IFERROR(__xludf.DUMMYFUNCTION("""COMPUTED_VALUE"""),8)</f>
        <v>8</v>
      </c>
      <c r="R245" s="8">
        <f ca="1">IFERROR(__xludf.DUMMYFUNCTION("""COMPUTED_VALUE"""),832)</f>
        <v>832</v>
      </c>
      <c r="S245" s="8">
        <f ca="1">IFERROR(__xludf.DUMMYFUNCTION("""COMPUTED_VALUE"""),12.8)</f>
        <v>12.8</v>
      </c>
      <c r="T245" s="8">
        <f ca="1">IFERROR(__xludf.DUMMYFUNCTION("""COMPUTED_VALUE"""),844.8)</f>
        <v>844.8</v>
      </c>
      <c r="U245" s="8"/>
      <c r="V245" s="8"/>
      <c r="W245" s="8"/>
      <c r="X245" s="8"/>
      <c r="Y245" s="8"/>
      <c r="Z245" s="37" t="s">
        <v>30</v>
      </c>
      <c r="AA245" s="37" t="str">
        <f ca="1">IFERROR(__xludf.DUMMYFUNCTION("""COMPUTED_VALUE"""),"27/10/2024")</f>
        <v>27/10/2024</v>
      </c>
      <c r="AB245" s="64">
        <v>0.56944444444444442</v>
      </c>
    </row>
    <row r="246" spans="1:28" ht="14.55" customHeight="1" x14ac:dyDescent="0.3">
      <c r="A246" s="8">
        <v>26</v>
      </c>
      <c r="B246" s="8"/>
      <c r="C246" s="8"/>
      <c r="D246" s="8"/>
      <c r="E246" s="16" t="str">
        <f ca="1">IFERROR(__xludf.DUMMYFUNCTION("""COMPUTED_VALUE"""),"Player")</f>
        <v>Player</v>
      </c>
      <c r="F246" s="8" t="str">
        <f ca="1">IFERROR(__xludf.DUMMYFUNCTION("""COMPUTED_VALUE"""),"Berend, Elvira")</f>
        <v>Berend, Elvira</v>
      </c>
      <c r="G246" s="8" t="str">
        <f ca="1">IFERROR(__xludf.DUMMYFUNCTION("""COMPUTED_VALUE"""),"LUX")</f>
        <v>LUX</v>
      </c>
      <c r="H246" s="8"/>
      <c r="I246" s="8">
        <f ca="1">IFERROR(__xludf.DUMMYFUNCTION("""COMPUTED_VALUE"""),100)</f>
        <v>100</v>
      </c>
      <c r="J246" s="8"/>
      <c r="K246" s="8"/>
      <c r="L246" s="8" t="str">
        <f ca="1">IFERROR(__xludf.DUMMYFUNCTION("""COMPUTED_VALUE"""),"Gambit Bonnevoie")</f>
        <v>Gambit Bonnevoie</v>
      </c>
      <c r="M246" s="8" t="str">
        <f ca="1">IFERROR(__xludf.DUMMYFUNCTION("""COMPUTED_VALUE"""),"LUX")</f>
        <v>LUX</v>
      </c>
      <c r="N246" s="16" t="str">
        <f ca="1">IFERROR(__xludf.DUMMYFUNCTION("""COMPUTED_VALUE"""),"Fontana")</f>
        <v>Fontana</v>
      </c>
      <c r="O246" s="8" t="str">
        <f ca="1">IFERROR(__xludf.DUMMYFUNCTION("""COMPUTED_VALUE"""),"Single")</f>
        <v>Single</v>
      </c>
      <c r="P246" s="8"/>
      <c r="Q246" s="8">
        <f ca="1">IFERROR(__xludf.DUMMYFUNCTION("""COMPUTED_VALUE"""),8)</f>
        <v>8</v>
      </c>
      <c r="R246" s="8">
        <f ca="1">IFERROR(__xludf.DUMMYFUNCTION("""COMPUTED_VALUE"""),832)</f>
        <v>832</v>
      </c>
      <c r="S246" s="8">
        <f ca="1">IFERROR(__xludf.DUMMYFUNCTION("""COMPUTED_VALUE"""),12.8)</f>
        <v>12.8</v>
      </c>
      <c r="T246" s="8">
        <f ca="1">IFERROR(__xludf.DUMMYFUNCTION("""COMPUTED_VALUE"""),844.8)</f>
        <v>844.8</v>
      </c>
      <c r="U246" s="8"/>
      <c r="V246" s="8"/>
      <c r="W246" s="8"/>
      <c r="X246" s="8"/>
      <c r="Y246" s="8"/>
      <c r="Z246" s="37" t="s">
        <v>30</v>
      </c>
      <c r="AA246" s="37" t="str">
        <f ca="1">IFERROR(__xludf.DUMMYFUNCTION("""COMPUTED_VALUE"""),"27/10/2024")</f>
        <v>27/10/2024</v>
      </c>
      <c r="AB246" s="64">
        <v>0.56944444444444442</v>
      </c>
    </row>
    <row r="247" spans="1:28" ht="14.55" customHeight="1" x14ac:dyDescent="0.3">
      <c r="A247" s="8">
        <v>27</v>
      </c>
      <c r="B247" s="8"/>
      <c r="C247" s="8"/>
      <c r="D247" s="8" t="str">
        <f ca="1">IFERROR(__xludf.DUMMYFUNCTION("""COMPUTED_VALUE"""),"16/07/2024")</f>
        <v>16/07/2024</v>
      </c>
      <c r="E247" s="16" t="str">
        <f ca="1">IFERROR(__xludf.DUMMYFUNCTION("""COMPUTED_VALUE"""),"Player")</f>
        <v>Player</v>
      </c>
      <c r="F247" s="8" t="str">
        <f ca="1">IFERROR(__xludf.DUMMYFUNCTION("""COMPUTED_VALUE"""),"Keymer, Vincent")</f>
        <v>Keymer, Vincent</v>
      </c>
      <c r="G247" s="16" t="str">
        <f ca="1">IFERROR(__xludf.DUMMYFUNCTION("""COMPUTED_VALUE"""),"GER")</f>
        <v>GER</v>
      </c>
      <c r="H247" s="8"/>
      <c r="I247" s="8">
        <f ca="1">IFERROR(__xludf.DUMMYFUNCTION("""COMPUTED_VALUE"""),100)</f>
        <v>100</v>
      </c>
      <c r="J247" s="8"/>
      <c r="K247" s="8"/>
      <c r="L247" s="8" t="str">
        <f ca="1">IFERROR(__xludf.DUMMYFUNCTION("""COMPUTED_VALUE"""),"Novy Bor Chess Club")</f>
        <v>Novy Bor Chess Club</v>
      </c>
      <c r="M247" s="16" t="str">
        <f ca="1">IFERROR(__xludf.DUMMYFUNCTION("""COMPUTED_VALUE"""),"CZE")</f>
        <v>CZE</v>
      </c>
      <c r="N247" s="16" t="str">
        <f ca="1">IFERROR(__xludf.DUMMYFUNCTION("""COMPUTED_VALUE"""),"Fontana")</f>
        <v>Fontana</v>
      </c>
      <c r="O247" s="8"/>
      <c r="P247" s="8">
        <f ca="1">IFERROR(__xludf.DUMMYFUNCTION("""COMPUTED_VALUE"""),104)</f>
        <v>104</v>
      </c>
      <c r="Q247" s="8">
        <f ca="1">IFERROR(__xludf.DUMMYFUNCTION("""COMPUTED_VALUE"""),8)</f>
        <v>8</v>
      </c>
      <c r="R247" s="8">
        <f ca="1">IFERROR(__xludf.DUMMYFUNCTION("""COMPUTED_VALUE"""),832)</f>
        <v>832</v>
      </c>
      <c r="S247" s="8">
        <f ca="1">IFERROR(__xludf.DUMMYFUNCTION("""COMPUTED_VALUE"""),12.8)</f>
        <v>12.8</v>
      </c>
      <c r="T247" s="8">
        <f ca="1">IFERROR(__xludf.DUMMYFUNCTION("""COMPUTED_VALUE"""),844.8)</f>
        <v>844.8</v>
      </c>
      <c r="U247" s="8"/>
      <c r="V247" s="8"/>
      <c r="W247" s="8"/>
      <c r="X247" s="8"/>
      <c r="Y247" s="8"/>
      <c r="Z247" s="37" t="str">
        <f ca="1">IFERROR(__xludf.DUMMYFUNCTION("""COMPUTED_VALUE"""),"LH1407")</f>
        <v>LH1407</v>
      </c>
      <c r="AA247" s="37" t="str">
        <f ca="1">IFERROR(__xludf.DUMMYFUNCTION("""COMPUTED_VALUE"""),"27/10/2024")</f>
        <v>27/10/2024</v>
      </c>
      <c r="AB247" s="59">
        <f ca="1">IFERROR(__xludf.DUMMYFUNCTION("""COMPUTED_VALUE"""),0.572916666666666)</f>
        <v>0.57291666666666596</v>
      </c>
    </row>
    <row r="248" spans="1:28" ht="14.55" customHeight="1" x14ac:dyDescent="0.3">
      <c r="A248" s="8">
        <v>28</v>
      </c>
      <c r="B248" s="8"/>
      <c r="C248" s="8"/>
      <c r="D248" s="8" t="str">
        <f ca="1">IFERROR(__xludf.DUMMYFUNCTION("""COMPUTED_VALUE"""),"14/08/2024")</f>
        <v>14/08/2024</v>
      </c>
      <c r="E248" s="16" t="str">
        <f ca="1">IFERROR(__xludf.DUMMYFUNCTION("""COMPUTED_VALUE"""),"Player")</f>
        <v>Player</v>
      </c>
      <c r="F248" s="8" t="str">
        <f ca="1">IFERROR(__xludf.DUMMYFUNCTION("""COMPUTED_VALUE"""),"Chukavin, Kirill")</f>
        <v>Chukavin, Kirill</v>
      </c>
      <c r="G248" s="16" t="str">
        <f ca="1">IFERROR(__xludf.DUMMYFUNCTION("""COMPUTED_VALUE"""),"EST")</f>
        <v>EST</v>
      </c>
      <c r="H248" s="8"/>
      <c r="I248" s="8">
        <f ca="1">IFERROR(__xludf.DUMMYFUNCTION("""COMPUTED_VALUE"""),100)</f>
        <v>100</v>
      </c>
      <c r="J248" s="8"/>
      <c r="K248" s="8"/>
      <c r="L248" s="8" t="str">
        <f ca="1">IFERROR(__xludf.DUMMYFUNCTION("""COMPUTED_VALUE"""),"SK Reval-Sport")</f>
        <v>SK Reval-Sport</v>
      </c>
      <c r="M248" s="16" t="str">
        <f ca="1">IFERROR(__xludf.DUMMYFUNCTION("""COMPUTED_VALUE"""),"EST")</f>
        <v>EST</v>
      </c>
      <c r="N248" s="16" t="str">
        <f ca="1">IFERROR(__xludf.DUMMYFUNCTION("""COMPUTED_VALUE"""),"Zepter")</f>
        <v>Zepter</v>
      </c>
      <c r="O248" s="8"/>
      <c r="P248" s="8">
        <f ca="1">IFERROR(__xludf.DUMMYFUNCTION("""COMPUTED_VALUE"""),104)</f>
        <v>104</v>
      </c>
      <c r="Q248" s="8">
        <f ca="1">IFERROR(__xludf.DUMMYFUNCTION("""COMPUTED_VALUE"""),8)</f>
        <v>8</v>
      </c>
      <c r="R248" s="8">
        <f ca="1">IFERROR(__xludf.DUMMYFUNCTION("""COMPUTED_VALUE"""),832)</f>
        <v>832</v>
      </c>
      <c r="S248" s="8">
        <f ca="1">IFERROR(__xludf.DUMMYFUNCTION("""COMPUTED_VALUE"""),12.8)</f>
        <v>12.8</v>
      </c>
      <c r="T248" s="8">
        <f ca="1">IFERROR(__xludf.DUMMYFUNCTION("""COMPUTED_VALUE"""),844.8)</f>
        <v>844.8</v>
      </c>
      <c r="U248" s="8"/>
      <c r="V248" s="8"/>
      <c r="W248" s="8"/>
      <c r="X248" s="8"/>
      <c r="Y248" s="8"/>
      <c r="Z248" s="37" t="str">
        <f ca="1">IFERROR(__xludf.DUMMYFUNCTION("""COMPUTED_VALUE"""),"LO572")</f>
        <v>LO572</v>
      </c>
      <c r="AA248" s="37" t="str">
        <f ca="1">IFERROR(__xludf.DUMMYFUNCTION("""COMPUTED_VALUE"""),"27/10/2024")</f>
        <v>27/10/2024</v>
      </c>
      <c r="AB248" s="59">
        <f ca="1">IFERROR(__xludf.DUMMYFUNCTION("""COMPUTED_VALUE"""),0.572916666666666)</f>
        <v>0.57291666666666596</v>
      </c>
    </row>
    <row r="249" spans="1:28" ht="14.55" customHeight="1" x14ac:dyDescent="0.3">
      <c r="A249" s="8">
        <v>29</v>
      </c>
      <c r="B249" s="8"/>
      <c r="C249" s="8"/>
      <c r="D249" s="8" t="str">
        <f ca="1">IFERROR(__xludf.DUMMYFUNCTION("""COMPUTED_VALUE"""),"14/08/2024")</f>
        <v>14/08/2024</v>
      </c>
      <c r="E249" s="16" t="str">
        <f ca="1">IFERROR(__xludf.DUMMYFUNCTION("""COMPUTED_VALUE"""),"Player")</f>
        <v>Player</v>
      </c>
      <c r="F249" s="8" t="str">
        <f ca="1">IFERROR(__xludf.DUMMYFUNCTION("""COMPUTED_VALUE"""),"Valner, Uku")</f>
        <v>Valner, Uku</v>
      </c>
      <c r="G249" s="16" t="str">
        <f ca="1">IFERROR(__xludf.DUMMYFUNCTION("""COMPUTED_VALUE"""),"EST")</f>
        <v>EST</v>
      </c>
      <c r="H249" s="8"/>
      <c r="I249" s="8">
        <f ca="1">IFERROR(__xludf.DUMMYFUNCTION("""COMPUTED_VALUE"""),100)</f>
        <v>100</v>
      </c>
      <c r="J249" s="8"/>
      <c r="K249" s="8"/>
      <c r="L249" s="8" t="str">
        <f ca="1">IFERROR(__xludf.DUMMYFUNCTION("""COMPUTED_VALUE"""),"SK Reval-Sport")</f>
        <v>SK Reval-Sport</v>
      </c>
      <c r="M249" s="16" t="str">
        <f ca="1">IFERROR(__xludf.DUMMYFUNCTION("""COMPUTED_VALUE"""),"EST")</f>
        <v>EST</v>
      </c>
      <c r="N249" s="16" t="str">
        <f ca="1">IFERROR(__xludf.DUMMYFUNCTION("""COMPUTED_VALUE"""),"Zepter")</f>
        <v>Zepter</v>
      </c>
      <c r="O249" s="8" t="str">
        <f ca="1">IFERROR(__xludf.DUMMYFUNCTION("""COMPUTED_VALUE"""),"Kukk, Sander")</f>
        <v>Kukk, Sander</v>
      </c>
      <c r="P249" s="8">
        <f ca="1">IFERROR(__xludf.DUMMYFUNCTION("""COMPUTED_VALUE"""),82)</f>
        <v>82</v>
      </c>
      <c r="Q249" s="8">
        <f ca="1">IFERROR(__xludf.DUMMYFUNCTION("""COMPUTED_VALUE"""),8)</f>
        <v>8</v>
      </c>
      <c r="R249" s="8">
        <f ca="1">IFERROR(__xludf.DUMMYFUNCTION("""COMPUTED_VALUE"""),656)</f>
        <v>656</v>
      </c>
      <c r="S249" s="8">
        <f ca="1">IFERROR(__xludf.DUMMYFUNCTION("""COMPUTED_VALUE"""),12.8)</f>
        <v>12.8</v>
      </c>
      <c r="T249" s="8">
        <f ca="1">IFERROR(__xludf.DUMMYFUNCTION("""COMPUTED_VALUE"""),668.8)</f>
        <v>668.8</v>
      </c>
      <c r="U249" s="8"/>
      <c r="V249" s="8"/>
      <c r="W249" s="8"/>
      <c r="X249" s="8"/>
      <c r="Y249" s="8"/>
      <c r="Z249" s="37" t="str">
        <f ca="1">IFERROR(__xludf.DUMMYFUNCTION("""COMPUTED_VALUE"""),"LO572")</f>
        <v>LO572</v>
      </c>
      <c r="AA249" s="37" t="str">
        <f ca="1">IFERROR(__xludf.DUMMYFUNCTION("""COMPUTED_VALUE"""),"27/10/2024")</f>
        <v>27/10/2024</v>
      </c>
      <c r="AB249" s="59">
        <f ca="1">IFERROR(__xludf.DUMMYFUNCTION("""COMPUTED_VALUE"""),0.572916666666666)</f>
        <v>0.57291666666666596</v>
      </c>
    </row>
    <row r="250" spans="1:28" ht="14.55" customHeight="1" x14ac:dyDescent="0.3">
      <c r="A250" s="8">
        <v>30</v>
      </c>
      <c r="B250" s="8"/>
      <c r="C250" s="8"/>
      <c r="D250" s="8" t="str">
        <f ca="1">IFERROR(__xludf.DUMMYFUNCTION("""COMPUTED_VALUE"""),"14/08/2024")</f>
        <v>14/08/2024</v>
      </c>
      <c r="E250" s="16" t="str">
        <f ca="1">IFERROR(__xludf.DUMMYFUNCTION("""COMPUTED_VALUE"""),"Player")</f>
        <v>Player</v>
      </c>
      <c r="F250" s="8" t="str">
        <f ca="1">IFERROR(__xludf.DUMMYFUNCTION("""COMPUTED_VALUE"""),"Kukk, Sander")</f>
        <v>Kukk, Sander</v>
      </c>
      <c r="G250" s="16" t="str">
        <f ca="1">IFERROR(__xludf.DUMMYFUNCTION("""COMPUTED_VALUE"""),"EST")</f>
        <v>EST</v>
      </c>
      <c r="H250" s="8"/>
      <c r="I250" s="8">
        <f ca="1">IFERROR(__xludf.DUMMYFUNCTION("""COMPUTED_VALUE"""),100)</f>
        <v>100</v>
      </c>
      <c r="J250" s="8"/>
      <c r="K250" s="8"/>
      <c r="L250" s="8" t="str">
        <f ca="1">IFERROR(__xludf.DUMMYFUNCTION("""COMPUTED_VALUE"""),"SK Reval-Sport")</f>
        <v>SK Reval-Sport</v>
      </c>
      <c r="M250" s="16" t="str">
        <f ca="1">IFERROR(__xludf.DUMMYFUNCTION("""COMPUTED_VALUE"""),"EST")</f>
        <v>EST</v>
      </c>
      <c r="N250" s="16" t="str">
        <f ca="1">IFERROR(__xludf.DUMMYFUNCTION("""COMPUTED_VALUE"""),"Zepter")</f>
        <v>Zepter</v>
      </c>
      <c r="O250" s="8" t="str">
        <f ca="1">IFERROR(__xludf.DUMMYFUNCTION("""COMPUTED_VALUE"""),"Valner, Uku")</f>
        <v>Valner, Uku</v>
      </c>
      <c r="P250" s="8">
        <f ca="1">IFERROR(__xludf.DUMMYFUNCTION("""COMPUTED_VALUE"""),82)</f>
        <v>82</v>
      </c>
      <c r="Q250" s="8">
        <f ca="1">IFERROR(__xludf.DUMMYFUNCTION("""COMPUTED_VALUE"""),8)</f>
        <v>8</v>
      </c>
      <c r="R250" s="8">
        <f ca="1">IFERROR(__xludf.DUMMYFUNCTION("""COMPUTED_VALUE"""),656)</f>
        <v>656</v>
      </c>
      <c r="S250" s="8">
        <f ca="1">IFERROR(__xludf.DUMMYFUNCTION("""COMPUTED_VALUE"""),12.8)</f>
        <v>12.8</v>
      </c>
      <c r="T250" s="8">
        <f ca="1">IFERROR(__xludf.DUMMYFUNCTION("""COMPUTED_VALUE"""),668.8)</f>
        <v>668.8</v>
      </c>
      <c r="U250" s="8"/>
      <c r="V250" s="8"/>
      <c r="W250" s="8"/>
      <c r="X250" s="8"/>
      <c r="Y250" s="8"/>
      <c r="Z250" s="37" t="str">
        <f ca="1">IFERROR(__xludf.DUMMYFUNCTION("""COMPUTED_VALUE"""),"LO572")</f>
        <v>LO572</v>
      </c>
      <c r="AA250" s="37" t="str">
        <f ca="1">IFERROR(__xludf.DUMMYFUNCTION("""COMPUTED_VALUE"""),"27/10/2024")</f>
        <v>27/10/2024</v>
      </c>
      <c r="AB250" s="59">
        <f ca="1">IFERROR(__xludf.DUMMYFUNCTION("""COMPUTED_VALUE"""),0.572916666666666)</f>
        <v>0.57291666666666596</v>
      </c>
    </row>
    <row r="251" spans="1:28" ht="14.55" customHeight="1" x14ac:dyDescent="0.3">
      <c r="A251" s="8">
        <v>31</v>
      </c>
      <c r="B251" s="8"/>
      <c r="C251" s="8"/>
      <c r="D251" s="8" t="str">
        <f ca="1">IFERROR(__xludf.DUMMYFUNCTION("""COMPUTED_VALUE"""),"14/08/2024")</f>
        <v>14/08/2024</v>
      </c>
      <c r="E251" s="16" t="str">
        <f ca="1">IFERROR(__xludf.DUMMYFUNCTION("""COMPUTED_VALUE"""),"Player")</f>
        <v>Player</v>
      </c>
      <c r="F251" s="8" t="str">
        <f ca="1">IFERROR(__xludf.DUMMYFUNCTION("""COMPUTED_VALUE"""),"Narva, Triin")</f>
        <v>Narva, Triin</v>
      </c>
      <c r="G251" s="16" t="str">
        <f ca="1">IFERROR(__xludf.DUMMYFUNCTION("""COMPUTED_VALUE"""),"EST")</f>
        <v>EST</v>
      </c>
      <c r="H251" s="8"/>
      <c r="I251" s="8">
        <f ca="1">IFERROR(__xludf.DUMMYFUNCTION("""COMPUTED_VALUE"""),100)</f>
        <v>100</v>
      </c>
      <c r="J251" s="8"/>
      <c r="K251" s="8"/>
      <c r="L251" s="8" t="str">
        <f ca="1">IFERROR(__xludf.DUMMYFUNCTION("""COMPUTED_VALUE"""),"SK Reval-Sport")</f>
        <v>SK Reval-Sport</v>
      </c>
      <c r="M251" s="16" t="str">
        <f ca="1">IFERROR(__xludf.DUMMYFUNCTION("""COMPUTED_VALUE"""),"EST")</f>
        <v>EST</v>
      </c>
      <c r="N251" s="16" t="str">
        <f ca="1">IFERROR(__xludf.DUMMYFUNCTION("""COMPUTED_VALUE"""),"Zepter")</f>
        <v>Zepter</v>
      </c>
      <c r="O251" s="8" t="str">
        <f ca="1">IFERROR(__xludf.DUMMYFUNCTION("""COMPUTED_VALUE"""),"Narva, Regina")</f>
        <v>Narva, Regina</v>
      </c>
      <c r="P251" s="8">
        <f ca="1">IFERROR(__xludf.DUMMYFUNCTION("""COMPUTED_VALUE"""),82)</f>
        <v>82</v>
      </c>
      <c r="Q251" s="8">
        <f ca="1">IFERROR(__xludf.DUMMYFUNCTION("""COMPUTED_VALUE"""),8)</f>
        <v>8</v>
      </c>
      <c r="R251" s="8">
        <f ca="1">IFERROR(__xludf.DUMMYFUNCTION("""COMPUTED_VALUE"""),656)</f>
        <v>656</v>
      </c>
      <c r="S251" s="8">
        <f ca="1">IFERROR(__xludf.DUMMYFUNCTION("""COMPUTED_VALUE"""),12.8)</f>
        <v>12.8</v>
      </c>
      <c r="T251" s="8">
        <f ca="1">IFERROR(__xludf.DUMMYFUNCTION("""COMPUTED_VALUE"""),668.8)</f>
        <v>668.8</v>
      </c>
      <c r="U251" s="8"/>
      <c r="V251" s="8"/>
      <c r="W251" s="8"/>
      <c r="X251" s="8"/>
      <c r="Y251" s="8"/>
      <c r="Z251" s="37" t="str">
        <f ca="1">IFERROR(__xludf.DUMMYFUNCTION("""COMPUTED_VALUE"""),"LO572")</f>
        <v>LO572</v>
      </c>
      <c r="AA251" s="37" t="str">
        <f ca="1">IFERROR(__xludf.DUMMYFUNCTION("""COMPUTED_VALUE"""),"27/10/2024")</f>
        <v>27/10/2024</v>
      </c>
      <c r="AB251" s="59">
        <f ca="1">IFERROR(__xludf.DUMMYFUNCTION("""COMPUTED_VALUE"""),0.572916666666666)</f>
        <v>0.57291666666666596</v>
      </c>
    </row>
    <row r="252" spans="1:28" ht="14.55" customHeight="1" x14ac:dyDescent="0.3">
      <c r="A252" s="8">
        <v>32</v>
      </c>
      <c r="B252" s="8"/>
      <c r="C252" s="8"/>
      <c r="D252" s="8" t="str">
        <f ca="1">IFERROR(__xludf.DUMMYFUNCTION("""COMPUTED_VALUE"""),"14/08/2024")</f>
        <v>14/08/2024</v>
      </c>
      <c r="E252" s="16" t="str">
        <f ca="1">IFERROR(__xludf.DUMMYFUNCTION("""COMPUTED_VALUE"""),"Player")</f>
        <v>Player</v>
      </c>
      <c r="F252" s="8" t="str">
        <f ca="1">IFERROR(__xludf.DUMMYFUNCTION("""COMPUTED_VALUE"""),"Nahkur, Madis")</f>
        <v>Nahkur, Madis</v>
      </c>
      <c r="G252" s="16" t="str">
        <f ca="1">IFERROR(__xludf.DUMMYFUNCTION("""COMPUTED_VALUE"""),"EST")</f>
        <v>EST</v>
      </c>
      <c r="H252" s="8"/>
      <c r="I252" s="8">
        <f ca="1">IFERROR(__xludf.DUMMYFUNCTION("""COMPUTED_VALUE"""),100)</f>
        <v>100</v>
      </c>
      <c r="J252" s="8"/>
      <c r="K252" s="8"/>
      <c r="L252" s="8" t="str">
        <f ca="1">IFERROR(__xludf.DUMMYFUNCTION("""COMPUTED_VALUE"""),"SK Reval-Sport")</f>
        <v>SK Reval-Sport</v>
      </c>
      <c r="M252" s="16" t="str">
        <f ca="1">IFERROR(__xludf.DUMMYFUNCTION("""COMPUTED_VALUE"""),"EST")</f>
        <v>EST</v>
      </c>
      <c r="N252" s="16" t="str">
        <f ca="1">IFERROR(__xludf.DUMMYFUNCTION("""COMPUTED_VALUE"""),"Zepter")</f>
        <v>Zepter</v>
      </c>
      <c r="O252" s="8" t="str">
        <f ca="1">IFERROR(__xludf.DUMMYFUNCTION("""COMPUTED_VALUE"""),"Nestor, Kaarel")</f>
        <v>Nestor, Kaarel</v>
      </c>
      <c r="P252" s="8">
        <f ca="1">IFERROR(__xludf.DUMMYFUNCTION("""COMPUTED_VALUE"""),82)</f>
        <v>82</v>
      </c>
      <c r="Q252" s="8">
        <f ca="1">IFERROR(__xludf.DUMMYFUNCTION("""COMPUTED_VALUE"""),8)</f>
        <v>8</v>
      </c>
      <c r="R252" s="8">
        <f ca="1">IFERROR(__xludf.DUMMYFUNCTION("""COMPUTED_VALUE"""),656)</f>
        <v>656</v>
      </c>
      <c r="S252" s="8">
        <f ca="1">IFERROR(__xludf.DUMMYFUNCTION("""COMPUTED_VALUE"""),12.8)</f>
        <v>12.8</v>
      </c>
      <c r="T252" s="8">
        <f ca="1">IFERROR(__xludf.DUMMYFUNCTION("""COMPUTED_VALUE"""),668.8)</f>
        <v>668.8</v>
      </c>
      <c r="U252" s="8"/>
      <c r="V252" s="8"/>
      <c r="W252" s="8"/>
      <c r="X252" s="8"/>
      <c r="Y252" s="8"/>
      <c r="Z252" s="37" t="str">
        <f ca="1">IFERROR(__xludf.DUMMYFUNCTION("""COMPUTED_VALUE"""),"LO572")</f>
        <v>LO572</v>
      </c>
      <c r="AA252" s="37" t="str">
        <f ca="1">IFERROR(__xludf.DUMMYFUNCTION("""COMPUTED_VALUE"""),"27/10/2024")</f>
        <v>27/10/2024</v>
      </c>
      <c r="AB252" s="59">
        <f ca="1">IFERROR(__xludf.DUMMYFUNCTION("""COMPUTED_VALUE"""),0.572916666666666)</f>
        <v>0.57291666666666596</v>
      </c>
    </row>
    <row r="253" spans="1:28" ht="14.55" customHeight="1" x14ac:dyDescent="0.3">
      <c r="A253" s="8">
        <v>33</v>
      </c>
      <c r="B253" s="8"/>
      <c r="C253" s="8"/>
      <c r="D253" s="8" t="str">
        <f ca="1">IFERROR(__xludf.DUMMYFUNCTION("""COMPUTED_VALUE"""),"19/07/2024")</f>
        <v>19/07/2024</v>
      </c>
      <c r="E253" s="16" t="str">
        <f ca="1">IFERROR(__xludf.DUMMYFUNCTION("""COMPUTED_VALUE"""),"Player")</f>
        <v>Player</v>
      </c>
      <c r="F253" s="8" t="str">
        <f ca="1">IFERROR(__xludf.DUMMYFUNCTION("""COMPUTED_VALUE"""),"Juegel, Marcel")</f>
        <v>Juegel, Marcel</v>
      </c>
      <c r="G253" s="16" t="str">
        <f ca="1">IFERROR(__xludf.DUMMYFUNCTION("""COMPUTED_VALUE"""),"GER")</f>
        <v>GER</v>
      </c>
      <c r="H253" s="8"/>
      <c r="I253" s="8">
        <f ca="1">IFERROR(__xludf.DUMMYFUNCTION("""COMPUTED_VALUE"""),100)</f>
        <v>100</v>
      </c>
      <c r="J253" s="8"/>
      <c r="K253" s="8"/>
      <c r="L253" s="8" t="str">
        <f ca="1">IFERROR(__xludf.DUMMYFUNCTION("""COMPUTED_VALUE"""),"La Tour d'Ans-Loncin")</f>
        <v>La Tour d'Ans-Loncin</v>
      </c>
      <c r="M253" s="16" t="str">
        <f ca="1">IFERROR(__xludf.DUMMYFUNCTION("""COMPUTED_VALUE"""),"BEL")</f>
        <v>BEL</v>
      </c>
      <c r="N253" s="16" t="str">
        <f ca="1">IFERROR(__xludf.DUMMYFUNCTION("""COMPUTED_VALUE"""),"Fontana")</f>
        <v>Fontana</v>
      </c>
      <c r="O253" s="8"/>
      <c r="P253" s="8">
        <f ca="1">IFERROR(__xludf.DUMMYFUNCTION("""COMPUTED_VALUE"""),104)</f>
        <v>104</v>
      </c>
      <c r="Q253" s="8">
        <f ca="1">IFERROR(__xludf.DUMMYFUNCTION("""COMPUTED_VALUE"""),8)</f>
        <v>8</v>
      </c>
      <c r="R253" s="8">
        <f ca="1">IFERROR(__xludf.DUMMYFUNCTION("""COMPUTED_VALUE"""),832)</f>
        <v>832</v>
      </c>
      <c r="S253" s="8">
        <f ca="1">IFERROR(__xludf.DUMMYFUNCTION("""COMPUTED_VALUE"""),12.8)</f>
        <v>12.8</v>
      </c>
      <c r="T253" s="8">
        <f ca="1">IFERROR(__xludf.DUMMYFUNCTION("""COMPUTED_VALUE"""),844.8)</f>
        <v>844.8</v>
      </c>
      <c r="U253" s="8"/>
      <c r="V253" s="8"/>
      <c r="W253" s="8"/>
      <c r="X253" s="8"/>
      <c r="Y253" s="8"/>
      <c r="Z253" s="37" t="str">
        <f ca="1">IFERROR(__xludf.DUMMYFUNCTION("""COMPUTED_VALUE"""),"LH 1407")</f>
        <v>LH 1407</v>
      </c>
      <c r="AA253" s="37" t="str">
        <f ca="1">IFERROR(__xludf.DUMMYFUNCTION("""COMPUTED_VALUE"""),"27/10/2024")</f>
        <v>27/10/2024</v>
      </c>
      <c r="AB253" s="59">
        <f ca="1">IFERROR(__xludf.DUMMYFUNCTION("""COMPUTED_VALUE"""),0.576388888888888)</f>
        <v>0.57638888888888795</v>
      </c>
    </row>
    <row r="254" spans="1:28" ht="14.55" customHeight="1" x14ac:dyDescent="0.3">
      <c r="A254" s="8">
        <v>34</v>
      </c>
      <c r="B254" s="8"/>
      <c r="C254" s="8"/>
      <c r="D254" s="8" t="str">
        <f ca="1">IFERROR(__xludf.DUMMYFUNCTION("""COMPUTED_VALUE"""),"19/07/2024")</f>
        <v>19/07/2024</v>
      </c>
      <c r="E254" s="16" t="s">
        <v>0</v>
      </c>
      <c r="F254" s="8" t="str">
        <f ca="1">IFERROR(__xludf.DUMMYFUNCTION("""COMPUTED_VALUE"""),"Loo, Bernd")</f>
        <v>Loo, Bernd</v>
      </c>
      <c r="G254" s="16" t="str">
        <f ca="1">IFERROR(__xludf.DUMMYFUNCTION("""COMPUTED_VALUE"""),"BEL")</f>
        <v>BEL</v>
      </c>
      <c r="H254" s="8"/>
      <c r="I254" s="8">
        <f ca="1">IFERROR(__xludf.DUMMYFUNCTION("""COMPUTED_VALUE"""),100)</f>
        <v>100</v>
      </c>
      <c r="J254" s="8"/>
      <c r="K254" s="8"/>
      <c r="L254" s="8" t="str">
        <f ca="1">IFERROR(__xludf.DUMMYFUNCTION("""COMPUTED_VALUE"""),"La Tour d'Ans-Loncin")</f>
        <v>La Tour d'Ans-Loncin</v>
      </c>
      <c r="M254" s="16" t="str">
        <f ca="1">IFERROR(__xludf.DUMMYFUNCTION("""COMPUTED_VALUE"""),"BEL")</f>
        <v>BEL</v>
      </c>
      <c r="N254" s="16" t="str">
        <f ca="1">IFERROR(__xludf.DUMMYFUNCTION("""COMPUTED_VALUE"""),"Fontana")</f>
        <v>Fontana</v>
      </c>
      <c r="O254" s="8"/>
      <c r="P254" s="8">
        <f ca="1">IFERROR(__xludf.DUMMYFUNCTION("""COMPUTED_VALUE"""),104)</f>
        <v>104</v>
      </c>
      <c r="Q254" s="8">
        <f ca="1">IFERROR(__xludf.DUMMYFUNCTION("""COMPUTED_VALUE"""),8)</f>
        <v>8</v>
      </c>
      <c r="R254" s="8">
        <f ca="1">IFERROR(__xludf.DUMMYFUNCTION("""COMPUTED_VALUE"""),832)</f>
        <v>832</v>
      </c>
      <c r="S254" s="8">
        <f ca="1">IFERROR(__xludf.DUMMYFUNCTION("""COMPUTED_VALUE"""),12.8)</f>
        <v>12.8</v>
      </c>
      <c r="T254" s="8">
        <f ca="1">IFERROR(__xludf.DUMMYFUNCTION("""COMPUTED_VALUE"""),844.8)</f>
        <v>844.8</v>
      </c>
      <c r="U254" s="8"/>
      <c r="V254" s="8"/>
      <c r="W254" s="8"/>
      <c r="X254" s="8"/>
      <c r="Y254" s="8"/>
      <c r="Z254" s="37" t="str">
        <f ca="1">IFERROR(__xludf.DUMMYFUNCTION("""COMPUTED_VALUE"""),"LH 1407")</f>
        <v>LH 1407</v>
      </c>
      <c r="AA254" s="37" t="str">
        <f ca="1">IFERROR(__xludf.DUMMYFUNCTION("""COMPUTED_VALUE"""),"27/10/2024")</f>
        <v>27/10/2024</v>
      </c>
      <c r="AB254" s="59">
        <f ca="1">IFERROR(__xludf.DUMMYFUNCTION("""COMPUTED_VALUE"""),0.576388888888888)</f>
        <v>0.57638888888888795</v>
      </c>
    </row>
    <row r="255" spans="1:28" ht="14.55" customHeight="1" x14ac:dyDescent="0.25">
      <c r="A255" s="8">
        <v>35</v>
      </c>
      <c r="B255" s="8"/>
      <c r="C255" s="8"/>
      <c r="D255" s="13">
        <f ca="1">IFERROR(__xludf.DUMMYFUNCTION("""COMPUTED_VALUE"""),45331)</f>
        <v>45331</v>
      </c>
      <c r="E255" s="16" t="str">
        <f ca="1">IFERROR(__xludf.DUMMYFUNCTION("""COMPUTED_VALUE"""),"Player")</f>
        <v>Player</v>
      </c>
      <c r="F255" s="8" t="str">
        <f ca="1">IFERROR(__xludf.DUMMYFUNCTION("""COMPUTED_VALUE"""),"Aryan Chopra")</f>
        <v>Aryan Chopra</v>
      </c>
      <c r="G255" s="16" t="str">
        <f ca="1">IFERROR(__xludf.DUMMYFUNCTION("""COMPUTED_VALUE"""),"IND")</f>
        <v>IND</v>
      </c>
      <c r="H255" s="8"/>
      <c r="I255" s="8">
        <f ca="1">IFERROR(__xludf.DUMMYFUNCTION("""COMPUTED_VALUE"""),100)</f>
        <v>100</v>
      </c>
      <c r="J255" s="8"/>
      <c r="K255" s="8"/>
      <c r="L255" s="8" t="str">
        <f ca="1">IFERROR(__xludf.DUMMYFUNCTION("""COMPUTED_VALUE"""),"Vados Chess Club")</f>
        <v>Vados Chess Club</v>
      </c>
      <c r="M255" s="16" t="str">
        <f ca="1">IFERROR(__xludf.DUMMYFUNCTION("""COMPUTED_VALUE"""),"ROU")</f>
        <v>ROU</v>
      </c>
      <c r="N255" s="16" t="str">
        <f ca="1">IFERROR(__xludf.DUMMYFUNCTION("""COMPUTED_VALUE"""),"Fontana")</f>
        <v>Fontana</v>
      </c>
      <c r="O255" s="8"/>
      <c r="P255" s="8"/>
      <c r="Q255" s="8">
        <f ca="1">IFERROR(__xludf.DUMMYFUNCTION("""COMPUTED_VALUE"""),8)</f>
        <v>8</v>
      </c>
      <c r="R255" s="8">
        <f ca="1">IFERROR(__xludf.DUMMYFUNCTION("""COMPUTED_VALUE"""),0)</f>
        <v>0</v>
      </c>
      <c r="S255" s="8">
        <f ca="1">IFERROR(__xludf.DUMMYFUNCTION("""COMPUTED_VALUE"""),12.8)</f>
        <v>12.8</v>
      </c>
      <c r="T255" s="8">
        <f ca="1">IFERROR(__xludf.DUMMYFUNCTION("""COMPUTED_VALUE"""),12.8)</f>
        <v>12.8</v>
      </c>
      <c r="U255" s="8"/>
      <c r="V255" s="8"/>
      <c r="W255" s="8"/>
      <c r="X255" s="8"/>
      <c r="Y255" s="8"/>
      <c r="Z255" s="73" t="s">
        <v>40</v>
      </c>
      <c r="AA255" s="37" t="str">
        <f ca="1">IFERROR(__xludf.DUMMYFUNCTION("""COMPUTED_VALUE"""),"27/10/2024")</f>
        <v>27/10/2024</v>
      </c>
      <c r="AB255" s="60" t="s">
        <v>39</v>
      </c>
    </row>
    <row r="256" spans="1:28" ht="14.55" customHeight="1" x14ac:dyDescent="0.25">
      <c r="A256" s="8">
        <v>36</v>
      </c>
      <c r="B256" s="8"/>
      <c r="C256" s="8"/>
      <c r="D256" s="13">
        <f ca="1">IFERROR(__xludf.DUMMYFUNCTION("""COMPUTED_VALUE"""),45331)</f>
        <v>45331</v>
      </c>
      <c r="E256" s="16" t="s">
        <v>0</v>
      </c>
      <c r="F256" s="8" t="str">
        <f ca="1">IFERROR(__xludf.DUMMYFUNCTION("""COMPUTED_VALUE"""),"Campeanu, Alin-Vivian")</f>
        <v>Campeanu, Alin-Vivian</v>
      </c>
      <c r="G256" s="16" t="str">
        <f ca="1">IFERROR(__xludf.DUMMYFUNCTION("""COMPUTED_VALUE"""),"ROU")</f>
        <v>ROU</v>
      </c>
      <c r="H256" s="8"/>
      <c r="I256" s="8">
        <f ca="1">IFERROR(__xludf.DUMMYFUNCTION("""COMPUTED_VALUE"""),100)</f>
        <v>100</v>
      </c>
      <c r="J256" s="8"/>
      <c r="K256" s="8"/>
      <c r="L256" s="8" t="str">
        <f ca="1">IFERROR(__xludf.DUMMYFUNCTION("""COMPUTED_VALUE"""),"Vados Chess Club")</f>
        <v>Vados Chess Club</v>
      </c>
      <c r="M256" s="16" t="str">
        <f ca="1">IFERROR(__xludf.DUMMYFUNCTION("""COMPUTED_VALUE"""),"ROU")</f>
        <v>ROU</v>
      </c>
      <c r="N256" s="16" t="str">
        <f ca="1">IFERROR(__xludf.DUMMYFUNCTION("""COMPUTED_VALUE"""),"Fontana")</f>
        <v>Fontana</v>
      </c>
      <c r="O256" s="8"/>
      <c r="P256" s="8"/>
      <c r="Q256" s="8">
        <f ca="1">IFERROR(__xludf.DUMMYFUNCTION("""COMPUTED_VALUE"""),8)</f>
        <v>8</v>
      </c>
      <c r="R256" s="8">
        <f ca="1">IFERROR(__xludf.DUMMYFUNCTION("""COMPUTED_VALUE"""),0)</f>
        <v>0</v>
      </c>
      <c r="S256" s="8">
        <f ca="1">IFERROR(__xludf.DUMMYFUNCTION("""COMPUTED_VALUE"""),12.8)</f>
        <v>12.8</v>
      </c>
      <c r="T256" s="8">
        <f ca="1">IFERROR(__xludf.DUMMYFUNCTION("""COMPUTED_VALUE"""),12.8)</f>
        <v>12.8</v>
      </c>
      <c r="U256" s="8"/>
      <c r="V256" s="8"/>
      <c r="W256" s="8"/>
      <c r="X256" s="8"/>
      <c r="Y256" s="8"/>
      <c r="Z256" s="73" t="s">
        <v>40</v>
      </c>
      <c r="AA256" s="37" t="str">
        <f ca="1">IFERROR(__xludf.DUMMYFUNCTION("""COMPUTED_VALUE"""),"27/10/2024")</f>
        <v>27/10/2024</v>
      </c>
      <c r="AB256" s="60" t="s">
        <v>39</v>
      </c>
    </row>
    <row r="257" spans="1:28" ht="14.55" customHeight="1" x14ac:dyDescent="0.3">
      <c r="A257" s="8">
        <v>37</v>
      </c>
      <c r="B257" s="8"/>
      <c r="C257" s="8"/>
      <c r="D257" s="8" t="str">
        <f ca="1">IFERROR(__xludf.DUMMYFUNCTION("""COMPUTED_VALUE"""),"14/08/2024")</f>
        <v>14/08/2024</v>
      </c>
      <c r="E257" s="16" t="str">
        <f ca="1">IFERROR(__xludf.DUMMYFUNCTION("""COMPUTED_VALUE"""),"Player")</f>
        <v>Player</v>
      </c>
      <c r="F257" s="8" t="str">
        <f ca="1">IFERROR(__xludf.DUMMYFUNCTION("""COMPUTED_VALUE"""),"Olsen, Filip Boe")</f>
        <v>Olsen, Filip Boe</v>
      </c>
      <c r="G257" s="16" t="str">
        <f ca="1">IFERROR(__xludf.DUMMYFUNCTION("""COMPUTED_VALUE"""),"DEN")</f>
        <v>DEN</v>
      </c>
      <c r="H257" s="8"/>
      <c r="I257" s="8">
        <f ca="1">IFERROR(__xludf.DUMMYFUNCTION("""COMPUTED_VALUE"""),100)</f>
        <v>100</v>
      </c>
      <c r="J257" s="8"/>
      <c r="K257" s="8"/>
      <c r="L257" s="8" t="str">
        <f ca="1">IFERROR(__xludf.DUMMYFUNCTION("""COMPUTED_VALUE"""),"C.A. Silla Integrant Col-lectius")</f>
        <v>C.A. Silla Integrant Col-lectius</v>
      </c>
      <c r="M257" s="16" t="str">
        <f ca="1">IFERROR(__xludf.DUMMYFUNCTION("""COMPUTED_VALUE"""),"ESP")</f>
        <v>ESP</v>
      </c>
      <c r="N257" s="16" t="str">
        <f ca="1">IFERROR(__xludf.DUMMYFUNCTION("""COMPUTED_VALUE"""),"Fontana")</f>
        <v>Fontana</v>
      </c>
      <c r="O257" s="8"/>
      <c r="P257" s="8">
        <f ca="1">IFERROR(__xludf.DUMMYFUNCTION("""COMPUTED_VALUE"""),104)</f>
        <v>104</v>
      </c>
      <c r="Q257" s="8">
        <f ca="1">IFERROR(__xludf.DUMMYFUNCTION("""COMPUTED_VALUE"""),8)</f>
        <v>8</v>
      </c>
      <c r="R257" s="8">
        <f ca="1">IFERROR(__xludf.DUMMYFUNCTION("""COMPUTED_VALUE"""),832)</f>
        <v>832</v>
      </c>
      <c r="S257" s="8">
        <f ca="1">IFERROR(__xludf.DUMMYFUNCTION("""COMPUTED_VALUE"""),12.8)</f>
        <v>12.8</v>
      </c>
      <c r="T257" s="8">
        <f ca="1">IFERROR(__xludf.DUMMYFUNCTION("""COMPUTED_VALUE"""),844.8)</f>
        <v>844.8</v>
      </c>
      <c r="U257" s="8"/>
      <c r="V257" s="8"/>
      <c r="W257" s="8"/>
      <c r="X257" s="8"/>
      <c r="Y257" s="8"/>
      <c r="Z257" s="37" t="str">
        <f ca="1">IFERROR(__xludf.DUMMYFUNCTION("""COMPUTED_VALUE"""),"LO572")</f>
        <v>LO572</v>
      </c>
      <c r="AA257" s="37" t="str">
        <f ca="1">IFERROR(__xludf.DUMMYFUNCTION("""COMPUTED_VALUE"""),"27/10/2024")</f>
        <v>27/10/2024</v>
      </c>
      <c r="AB257" s="59">
        <f ca="1">IFERROR(__xludf.DUMMYFUNCTION("""COMPUTED_VALUE"""),0.579861111111111)</f>
        <v>0.57986111111111105</v>
      </c>
    </row>
    <row r="258" spans="1:28" ht="14.55" customHeight="1" x14ac:dyDescent="0.3">
      <c r="A258" s="8">
        <v>38</v>
      </c>
      <c r="B258" s="8"/>
      <c r="C258" s="8"/>
      <c r="D258" s="8" t="str">
        <f ca="1">IFERROR(__xludf.DUMMYFUNCTION("""COMPUTED_VALUE"""),"14/08/2024")</f>
        <v>14/08/2024</v>
      </c>
      <c r="E258" s="16" t="str">
        <f ca="1">IFERROR(__xludf.DUMMYFUNCTION("""COMPUTED_VALUE"""),"Player")</f>
        <v>Player</v>
      </c>
      <c r="F258" s="8" t="str">
        <f ca="1">IFERROR(__xludf.DUMMYFUNCTION("""COMPUTED_VALUE"""),"Gengler, Pierre")</f>
        <v>Gengler, Pierre</v>
      </c>
      <c r="G258" s="16" t="str">
        <f ca="1">IFERROR(__xludf.DUMMYFUNCTION("""COMPUTED_VALUE"""),"LUX")</f>
        <v>LUX</v>
      </c>
      <c r="H258" s="8"/>
      <c r="I258" s="8">
        <f ca="1">IFERROR(__xludf.DUMMYFUNCTION("""COMPUTED_VALUE"""),100)</f>
        <v>100</v>
      </c>
      <c r="J258" s="8"/>
      <c r="K258" s="8"/>
      <c r="L258" s="8" t="str">
        <f ca="1">IFERROR(__xludf.DUMMYFUNCTION("""COMPUTED_VALUE"""),"Differdange")</f>
        <v>Differdange</v>
      </c>
      <c r="M258" s="16" t="str">
        <f ca="1">IFERROR(__xludf.DUMMYFUNCTION("""COMPUTED_VALUE"""),"LUX")</f>
        <v>LUX</v>
      </c>
      <c r="N258" s="16" t="str">
        <f ca="1">IFERROR(__xludf.DUMMYFUNCTION("""COMPUTED_VALUE"""),"Fontana")</f>
        <v>Fontana</v>
      </c>
      <c r="O258" s="8"/>
      <c r="P258" s="8">
        <f ca="1">IFERROR(__xludf.DUMMYFUNCTION("""COMPUTED_VALUE"""),104)</f>
        <v>104</v>
      </c>
      <c r="Q258" s="8">
        <f ca="1">IFERROR(__xludf.DUMMYFUNCTION("""COMPUTED_VALUE"""),8)</f>
        <v>8</v>
      </c>
      <c r="R258" s="8">
        <f ca="1">IFERROR(__xludf.DUMMYFUNCTION("""COMPUTED_VALUE"""),832)</f>
        <v>832</v>
      </c>
      <c r="S258" s="8">
        <f ca="1">IFERROR(__xludf.DUMMYFUNCTION("""COMPUTED_VALUE"""),12.8)</f>
        <v>12.8</v>
      </c>
      <c r="T258" s="8">
        <f ca="1">IFERROR(__xludf.DUMMYFUNCTION("""COMPUTED_VALUE"""),844.8)</f>
        <v>844.8</v>
      </c>
      <c r="U258" s="8"/>
      <c r="V258" s="8"/>
      <c r="W258" s="8"/>
      <c r="X258" s="8"/>
      <c r="Y258" s="8"/>
      <c r="Z258" s="37"/>
      <c r="AA258" s="37" t="str">
        <f ca="1">IFERROR(__xludf.DUMMYFUNCTION("""COMPUTED_VALUE"""),"27/10/2024")</f>
        <v>27/10/2024</v>
      </c>
      <c r="AB258" s="59">
        <f ca="1">IFERROR(__xludf.DUMMYFUNCTION("""COMPUTED_VALUE"""),0.579861111111111)</f>
        <v>0.57986111111111105</v>
      </c>
    </row>
    <row r="259" spans="1:28" ht="14.55" customHeight="1" x14ac:dyDescent="0.3">
      <c r="A259" s="8">
        <v>39</v>
      </c>
      <c r="B259" s="8"/>
      <c r="C259" s="8"/>
      <c r="D259" s="8" t="str">
        <f ca="1">IFERROR(__xludf.DUMMYFUNCTION("""COMPUTED_VALUE"""),"14/08/2024")</f>
        <v>14/08/2024</v>
      </c>
      <c r="E259" s="16" t="str">
        <f ca="1">IFERROR(__xludf.DUMMYFUNCTION("""COMPUTED_VALUE"""),"Player")</f>
        <v>Player</v>
      </c>
      <c r="F259" s="8" t="str">
        <f ca="1">IFERROR(__xludf.DUMMYFUNCTION("""COMPUTED_VALUE"""),"Rota, Emile")</f>
        <v>Rota, Emile</v>
      </c>
      <c r="G259" s="16" t="str">
        <f ca="1">IFERROR(__xludf.DUMMYFUNCTION("""COMPUTED_VALUE"""),"LUX")</f>
        <v>LUX</v>
      </c>
      <c r="H259" s="8"/>
      <c r="I259" s="8">
        <f ca="1">IFERROR(__xludf.DUMMYFUNCTION("""COMPUTED_VALUE"""),100)</f>
        <v>100</v>
      </c>
      <c r="J259" s="8"/>
      <c r="K259" s="8"/>
      <c r="L259" s="8" t="str">
        <f ca="1">IFERROR(__xludf.DUMMYFUNCTION("""COMPUTED_VALUE"""),"Differdange")</f>
        <v>Differdange</v>
      </c>
      <c r="M259" s="16" t="str">
        <f ca="1">IFERROR(__xludf.DUMMYFUNCTION("""COMPUTED_VALUE"""),"LUX")</f>
        <v>LUX</v>
      </c>
      <c r="N259" s="16" t="str">
        <f ca="1">IFERROR(__xludf.DUMMYFUNCTION("""COMPUTED_VALUE"""),"Fontana")</f>
        <v>Fontana</v>
      </c>
      <c r="O259" s="8"/>
      <c r="P259" s="8">
        <f ca="1">IFERROR(__xludf.DUMMYFUNCTION("""COMPUTED_VALUE"""),104)</f>
        <v>104</v>
      </c>
      <c r="Q259" s="8">
        <f ca="1">IFERROR(__xludf.DUMMYFUNCTION("""COMPUTED_VALUE"""),8)</f>
        <v>8</v>
      </c>
      <c r="R259" s="8">
        <f ca="1">IFERROR(__xludf.DUMMYFUNCTION("""COMPUTED_VALUE"""),832)</f>
        <v>832</v>
      </c>
      <c r="S259" s="8">
        <f ca="1">IFERROR(__xludf.DUMMYFUNCTION("""COMPUTED_VALUE"""),12.8)</f>
        <v>12.8</v>
      </c>
      <c r="T259" s="8">
        <f ca="1">IFERROR(__xludf.DUMMYFUNCTION("""COMPUTED_VALUE"""),844.8)</f>
        <v>844.8</v>
      </c>
      <c r="U259" s="8"/>
      <c r="V259" s="8"/>
      <c r="W259" s="8"/>
      <c r="X259" s="8"/>
      <c r="Y259" s="8"/>
      <c r="Z259" s="37"/>
      <c r="AA259" s="37" t="str">
        <f ca="1">IFERROR(__xludf.DUMMYFUNCTION("""COMPUTED_VALUE"""),"27/10/2024")</f>
        <v>27/10/2024</v>
      </c>
      <c r="AB259" s="59">
        <f ca="1">IFERROR(__xludf.DUMMYFUNCTION("""COMPUTED_VALUE"""),0.579861111111111)</f>
        <v>0.57986111111111105</v>
      </c>
    </row>
    <row r="260" spans="1:28" ht="14.55" customHeight="1" x14ac:dyDescent="0.3">
      <c r="A260" s="8">
        <v>40</v>
      </c>
      <c r="B260" s="8"/>
      <c r="C260" s="8"/>
      <c r="D260" s="13">
        <f ca="1">IFERROR(__xludf.DUMMYFUNCTION("""COMPUTED_VALUE"""),45299)</f>
        <v>45299</v>
      </c>
      <c r="E260" s="16" t="str">
        <f ca="1">IFERROR(__xludf.DUMMYFUNCTION("""COMPUTED_VALUE"""),"Player")</f>
        <v>Player</v>
      </c>
      <c r="F260" s="8" t="str">
        <f ca="1">IFERROR(__xludf.DUMMYFUNCTION("""COMPUTED_VALUE"""),"Luukkonen, Tommi")</f>
        <v>Luukkonen, Tommi</v>
      </c>
      <c r="G260" s="16" t="str">
        <f ca="1">IFERROR(__xludf.DUMMYFUNCTION("""COMPUTED_VALUE"""),"FIN")</f>
        <v>FIN</v>
      </c>
      <c r="H260" s="8"/>
      <c r="I260" s="8">
        <f ca="1">IFERROR(__xludf.DUMMYFUNCTION("""COMPUTED_VALUE"""),100)</f>
        <v>100</v>
      </c>
      <c r="J260" s="8"/>
      <c r="K260" s="8"/>
      <c r="L260" s="8" t="str">
        <f ca="1">IFERROR(__xludf.DUMMYFUNCTION("""COMPUTED_VALUE"""),"Jyväs-Shakki")</f>
        <v>Jyväs-Shakki</v>
      </c>
      <c r="M260" s="16" t="str">
        <f ca="1">IFERROR(__xludf.DUMMYFUNCTION("""COMPUTED_VALUE"""),"FIN")</f>
        <v>FIN</v>
      </c>
      <c r="N260" s="16" t="str">
        <f ca="1">IFERROR(__xludf.DUMMYFUNCTION("""COMPUTED_VALUE"""),"Fontana")</f>
        <v>Fontana</v>
      </c>
      <c r="O260" s="8"/>
      <c r="P260" s="8">
        <f ca="1">IFERROR(__xludf.DUMMYFUNCTION("""COMPUTED_VALUE"""),104)</f>
        <v>104</v>
      </c>
      <c r="Q260" s="8">
        <f ca="1">IFERROR(__xludf.DUMMYFUNCTION("""COMPUTED_VALUE"""),8)</f>
        <v>8</v>
      </c>
      <c r="R260" s="8">
        <f ca="1">IFERROR(__xludf.DUMMYFUNCTION("""COMPUTED_VALUE"""),832)</f>
        <v>832</v>
      </c>
      <c r="S260" s="8">
        <f ca="1">IFERROR(__xludf.DUMMYFUNCTION("""COMPUTED_VALUE"""),12.8)</f>
        <v>12.8</v>
      </c>
      <c r="T260" s="8">
        <f ca="1">IFERROR(__xludf.DUMMYFUNCTION("""COMPUTED_VALUE"""),844.8)</f>
        <v>844.8</v>
      </c>
      <c r="U260" s="8"/>
      <c r="V260" s="8"/>
      <c r="W260" s="8"/>
      <c r="X260" s="8"/>
      <c r="Y260" s="8"/>
      <c r="Z260" s="37" t="str">
        <f ca="1">IFERROR(__xludf.DUMMYFUNCTION("""COMPUTED_VALUE"""),"LO572")</f>
        <v>LO572</v>
      </c>
      <c r="AA260" s="37" t="str">
        <f ca="1">IFERROR(__xludf.DUMMYFUNCTION("""COMPUTED_VALUE"""),"27/10/2024")</f>
        <v>27/10/2024</v>
      </c>
      <c r="AB260" s="59">
        <f ca="1">IFERROR(__xludf.DUMMYFUNCTION("""COMPUTED_VALUE"""),0.579861111111111)</f>
        <v>0.57986111111111105</v>
      </c>
    </row>
    <row r="261" spans="1:28" ht="14.55" customHeight="1" x14ac:dyDescent="0.3">
      <c r="A261" s="8">
        <v>41</v>
      </c>
      <c r="B261" s="8"/>
      <c r="C261" s="8"/>
      <c r="D261" s="13">
        <f ca="1">IFERROR(__xludf.DUMMYFUNCTION("""COMPUTED_VALUE"""),45299)</f>
        <v>45299</v>
      </c>
      <c r="E261" s="16" t="str">
        <f ca="1">IFERROR(__xludf.DUMMYFUNCTION("""COMPUTED_VALUE"""),"Player")</f>
        <v>Player</v>
      </c>
      <c r="F261" s="8" t="str">
        <f ca="1">IFERROR(__xludf.DUMMYFUNCTION("""COMPUTED_VALUE"""),"Brade, Henry")</f>
        <v>Brade, Henry</v>
      </c>
      <c r="G261" s="16" t="str">
        <f ca="1">IFERROR(__xludf.DUMMYFUNCTION("""COMPUTED_VALUE"""),"FIN")</f>
        <v>FIN</v>
      </c>
      <c r="H261" s="8"/>
      <c r="I261" s="8">
        <f ca="1">IFERROR(__xludf.DUMMYFUNCTION("""COMPUTED_VALUE"""),100)</f>
        <v>100</v>
      </c>
      <c r="J261" s="8"/>
      <c r="K261" s="8"/>
      <c r="L261" s="8" t="str">
        <f ca="1">IFERROR(__xludf.DUMMYFUNCTION("""COMPUTED_VALUE"""),"Jyväs-Shakki")</f>
        <v>Jyväs-Shakki</v>
      </c>
      <c r="M261" s="16" t="str">
        <f ca="1">IFERROR(__xludf.DUMMYFUNCTION("""COMPUTED_VALUE"""),"FIN")</f>
        <v>FIN</v>
      </c>
      <c r="N261" s="16" t="str">
        <f ca="1">IFERROR(__xludf.DUMMYFUNCTION("""COMPUTED_VALUE"""),"Fontana")</f>
        <v>Fontana</v>
      </c>
      <c r="O261" s="8"/>
      <c r="P261" s="8">
        <f ca="1">IFERROR(__xludf.DUMMYFUNCTION("""COMPUTED_VALUE"""),104)</f>
        <v>104</v>
      </c>
      <c r="Q261" s="8">
        <f ca="1">IFERROR(__xludf.DUMMYFUNCTION("""COMPUTED_VALUE"""),8)</f>
        <v>8</v>
      </c>
      <c r="R261" s="8">
        <f ca="1">IFERROR(__xludf.DUMMYFUNCTION("""COMPUTED_VALUE"""),832)</f>
        <v>832</v>
      </c>
      <c r="S261" s="8">
        <f ca="1">IFERROR(__xludf.DUMMYFUNCTION("""COMPUTED_VALUE"""),12.8)</f>
        <v>12.8</v>
      </c>
      <c r="T261" s="8">
        <f ca="1">IFERROR(__xludf.DUMMYFUNCTION("""COMPUTED_VALUE"""),844.8)</f>
        <v>844.8</v>
      </c>
      <c r="U261" s="8"/>
      <c r="V261" s="8"/>
      <c r="W261" s="8"/>
      <c r="X261" s="8"/>
      <c r="Y261" s="8"/>
      <c r="Z261" s="37" t="str">
        <f ca="1">IFERROR(__xludf.DUMMYFUNCTION("""COMPUTED_VALUE"""),"LO572")</f>
        <v>LO572</v>
      </c>
      <c r="AA261" s="37" t="str">
        <f ca="1">IFERROR(__xludf.DUMMYFUNCTION("""COMPUTED_VALUE"""),"27/10/2024")</f>
        <v>27/10/2024</v>
      </c>
      <c r="AB261" s="59">
        <f ca="1">IFERROR(__xludf.DUMMYFUNCTION("""COMPUTED_VALUE"""),0.579861111111111)</f>
        <v>0.57986111111111105</v>
      </c>
    </row>
    <row r="262" spans="1:28" ht="14.55" customHeight="1" x14ac:dyDescent="0.3">
      <c r="A262" s="8">
        <v>42</v>
      </c>
      <c r="B262" s="8"/>
      <c r="C262" s="8" t="str">
        <f ca="1">IFERROR(__xludf.DUMMYFUNCTION("""COMPUTED_VALUE"""),"Zamena umesto Hebbinghaus, Holger")</f>
        <v>Zamena umesto Hebbinghaus, Holger</v>
      </c>
      <c r="D262" s="8" t="str">
        <f ca="1">IFERROR(__xludf.DUMMYFUNCTION("""COMPUTED_VALUE"""),"15/08/2024")</f>
        <v>15/08/2024</v>
      </c>
      <c r="E262" s="16" t="str">
        <f ca="1">IFERROR(__xludf.DUMMYFUNCTION("""COMPUTED_VALUE"""),"Player")</f>
        <v>Player</v>
      </c>
      <c r="F262" s="8" t="str">
        <f ca="1">IFERROR(__xludf.DUMMYFUNCTION("""COMPUTED_VALUE"""),"Junge, Ralph, Dr.")</f>
        <v>Junge, Ralph, Dr.</v>
      </c>
      <c r="G262" s="16" t="str">
        <f ca="1">IFERROR(__xludf.DUMMYFUNCTION("""COMPUTED_VALUE"""),"GER")</f>
        <v>GER</v>
      </c>
      <c r="H262" s="8"/>
      <c r="I262" s="8">
        <f ca="1">IFERROR(__xludf.DUMMYFUNCTION("""COMPUTED_VALUE"""),100)</f>
        <v>100</v>
      </c>
      <c r="J262" s="8"/>
      <c r="K262" s="8"/>
      <c r="L262" s="8" t="str">
        <f ca="1">IFERROR(__xludf.DUMMYFUNCTION("""COMPUTED_VALUE"""),"SK Doppelbauer Kiel")</f>
        <v>SK Doppelbauer Kiel</v>
      </c>
      <c r="M262" s="16" t="str">
        <f ca="1">IFERROR(__xludf.DUMMYFUNCTION("""COMPUTED_VALUE"""),"GER")</f>
        <v>GER</v>
      </c>
      <c r="N262" s="16" t="str">
        <f ca="1">IFERROR(__xludf.DUMMYFUNCTION("""COMPUTED_VALUE"""),"Tonanti")</f>
        <v>Tonanti</v>
      </c>
      <c r="O262" s="8" t="str">
        <f ca="1">IFERROR(__xludf.DUMMYFUNCTION("""COMPUTED_VALUE"""),"Betre Almonte, Rosis Elisabel")</f>
        <v>Betre Almonte, Rosis Elisabel</v>
      </c>
      <c r="P262" s="8">
        <f ca="1">IFERROR(__xludf.DUMMYFUNCTION("""COMPUTED_VALUE"""),84)</f>
        <v>84</v>
      </c>
      <c r="Q262" s="8">
        <f ca="1">IFERROR(__xludf.DUMMYFUNCTION("""COMPUTED_VALUE"""),8)</f>
        <v>8</v>
      </c>
      <c r="R262" s="8">
        <f ca="1">IFERROR(__xludf.DUMMYFUNCTION("""COMPUTED_VALUE"""),672)</f>
        <v>672</v>
      </c>
      <c r="S262" s="8">
        <f ca="1">IFERROR(__xludf.DUMMYFUNCTION("""COMPUTED_VALUE"""),12.8)</f>
        <v>12.8</v>
      </c>
      <c r="T262" s="8">
        <f ca="1">IFERROR(__xludf.DUMMYFUNCTION("""COMPUTED_VALUE"""),684.8)</f>
        <v>684.8</v>
      </c>
      <c r="U262" s="8"/>
      <c r="V262" s="8"/>
      <c r="W262" s="8"/>
      <c r="X262" s="8"/>
      <c r="Y262" s="8"/>
      <c r="Z262" s="37" t="str">
        <f ca="1">IFERROR(__xludf.DUMMYFUNCTION("""COMPUTED_VALUE"""),"LO393")</f>
        <v>LO393</v>
      </c>
      <c r="AA262" s="37" t="str">
        <f ca="1">IFERROR(__xludf.DUMMYFUNCTION("""COMPUTED_VALUE"""),"27/10/2024")</f>
        <v>27/10/2024</v>
      </c>
      <c r="AB262" s="59">
        <f ca="1">IFERROR(__xludf.DUMMYFUNCTION("""COMPUTED_VALUE"""),0.579861111111111)</f>
        <v>0.57986111111111105</v>
      </c>
    </row>
    <row r="263" spans="1:28" ht="14.55" customHeight="1" x14ac:dyDescent="0.3">
      <c r="A263" s="8">
        <v>43</v>
      </c>
      <c r="B263" s="8"/>
      <c r="C263" s="8"/>
      <c r="D263" s="8" t="str">
        <f ca="1">IFERROR(__xludf.DUMMYFUNCTION("""COMPUTED_VALUE"""),"15/08/2024")</f>
        <v>15/08/2024</v>
      </c>
      <c r="E263" s="16" t="s">
        <v>0</v>
      </c>
      <c r="F263" s="8" t="str">
        <f ca="1">IFERROR(__xludf.DUMMYFUNCTION("""COMPUTED_VALUE"""),"Betre Almonte, Rosis Elisabel")</f>
        <v>Betre Almonte, Rosis Elisabel</v>
      </c>
      <c r="G263" s="16"/>
      <c r="H263" s="8"/>
      <c r="I263" s="8">
        <f ca="1">IFERROR(__xludf.DUMMYFUNCTION("""COMPUTED_VALUE"""),100)</f>
        <v>100</v>
      </c>
      <c r="J263" s="8"/>
      <c r="K263" s="8"/>
      <c r="L263" s="8" t="str">
        <f ca="1">IFERROR(__xludf.DUMMYFUNCTION("""COMPUTED_VALUE"""),"SK Doppelbauer Kiel")</f>
        <v>SK Doppelbauer Kiel</v>
      </c>
      <c r="M263" s="16" t="str">
        <f ca="1">IFERROR(__xludf.DUMMYFUNCTION("""COMPUTED_VALUE"""),"GER")</f>
        <v>GER</v>
      </c>
      <c r="N263" s="16" t="str">
        <f ca="1">IFERROR(__xludf.DUMMYFUNCTION("""COMPUTED_VALUE"""),"Tonanti")</f>
        <v>Tonanti</v>
      </c>
      <c r="O263" s="8" t="str">
        <f ca="1">IFERROR(__xludf.DUMMYFUNCTION("""COMPUTED_VALUE"""),"Junge, Ralph")</f>
        <v>Junge, Ralph</v>
      </c>
      <c r="P263" s="8">
        <f ca="1">IFERROR(__xludf.DUMMYFUNCTION("""COMPUTED_VALUE"""),84)</f>
        <v>84</v>
      </c>
      <c r="Q263" s="8">
        <f ca="1">IFERROR(__xludf.DUMMYFUNCTION("""COMPUTED_VALUE"""),8)</f>
        <v>8</v>
      </c>
      <c r="R263" s="8">
        <f ca="1">IFERROR(__xludf.DUMMYFUNCTION("""COMPUTED_VALUE"""),672)</f>
        <v>672</v>
      </c>
      <c r="S263" s="8">
        <f ca="1">IFERROR(__xludf.DUMMYFUNCTION("""COMPUTED_VALUE"""),12.8)</f>
        <v>12.8</v>
      </c>
      <c r="T263" s="8">
        <f ca="1">IFERROR(__xludf.DUMMYFUNCTION("""COMPUTED_VALUE"""),684.8)</f>
        <v>684.8</v>
      </c>
      <c r="U263" s="8"/>
      <c r="V263" s="8"/>
      <c r="W263" s="8"/>
      <c r="X263" s="8"/>
      <c r="Y263" s="8"/>
      <c r="Z263" s="37" t="str">
        <f ca="1">IFERROR(__xludf.DUMMYFUNCTION("""COMPUTED_VALUE"""),"LO393")</f>
        <v>LO393</v>
      </c>
      <c r="AA263" s="37" t="str">
        <f ca="1">IFERROR(__xludf.DUMMYFUNCTION("""COMPUTED_VALUE"""),"27/10/2024")</f>
        <v>27/10/2024</v>
      </c>
      <c r="AB263" s="59">
        <f ca="1">IFERROR(__xludf.DUMMYFUNCTION("""COMPUTED_VALUE"""),0.579861111111111)</f>
        <v>0.57986111111111105</v>
      </c>
    </row>
    <row r="264" spans="1:28" ht="14.55" customHeight="1" x14ac:dyDescent="0.3">
      <c r="A264" s="8">
        <v>44</v>
      </c>
      <c r="B264" s="8"/>
      <c r="C264" s="8"/>
      <c r="D264" s="8" t="str">
        <f ca="1">IFERROR(__xludf.DUMMYFUNCTION("""COMPUTED_VALUE"""),"14/08/2024")</f>
        <v>14/08/2024</v>
      </c>
      <c r="E264" s="16" t="str">
        <f ca="1">IFERROR(__xludf.DUMMYFUNCTION("""COMPUTED_VALUE"""),"Player")</f>
        <v>Player</v>
      </c>
      <c r="F264" s="8" t="str">
        <f ca="1">IFERROR(__xludf.DUMMYFUNCTION("""COMPUTED_VALUE"""),"Bjerre, Jonas Buhl")</f>
        <v>Bjerre, Jonas Buhl</v>
      </c>
      <c r="G264" s="16" t="str">
        <f ca="1">IFERROR(__xludf.DUMMYFUNCTION("""COMPUTED_VALUE"""),"DEN")</f>
        <v>DEN</v>
      </c>
      <c r="H264" s="8"/>
      <c r="I264" s="8">
        <f ca="1">IFERROR(__xludf.DUMMYFUNCTION("""COMPUTED_VALUE"""),100)</f>
        <v>100</v>
      </c>
      <c r="J264" s="8"/>
      <c r="K264" s="8"/>
      <c r="L264" s="8" t="str">
        <f ca="1">IFERROR(__xludf.DUMMYFUNCTION("""COMPUTED_VALUE"""),"Tajfun SK")</f>
        <v>Tajfun SK</v>
      </c>
      <c r="M264" s="16" t="str">
        <f ca="1">IFERROR(__xludf.DUMMYFUNCTION("""COMPUTED_VALUE"""),"SLO")</f>
        <v>SLO</v>
      </c>
      <c r="N264" s="16" t="str">
        <f ca="1">IFERROR(__xludf.DUMMYFUNCTION("""COMPUTED_VALUE"""),"Tonanti")</f>
        <v>Tonanti</v>
      </c>
      <c r="O264" s="8"/>
      <c r="P264" s="8">
        <f ca="1">IFERROR(__xludf.DUMMYFUNCTION("""COMPUTED_VALUE"""),108)</f>
        <v>108</v>
      </c>
      <c r="Q264" s="8">
        <f ca="1">IFERROR(__xludf.DUMMYFUNCTION("""COMPUTED_VALUE"""),8)</f>
        <v>8</v>
      </c>
      <c r="R264" s="8">
        <f ca="1">IFERROR(__xludf.DUMMYFUNCTION("""COMPUTED_VALUE"""),864)</f>
        <v>864</v>
      </c>
      <c r="S264" s="8">
        <f ca="1">IFERROR(__xludf.DUMMYFUNCTION("""COMPUTED_VALUE"""),12.8)</f>
        <v>12.8</v>
      </c>
      <c r="T264" s="8">
        <f ca="1">IFERROR(__xludf.DUMMYFUNCTION("""COMPUTED_VALUE"""),876.8)</f>
        <v>876.8</v>
      </c>
      <c r="U264" s="8"/>
      <c r="V264" s="8"/>
      <c r="W264" s="8"/>
      <c r="X264" s="8"/>
      <c r="Y264" s="8"/>
      <c r="Z264" s="37" t="str">
        <f ca="1">IFERROR(__xludf.DUMMYFUNCTION("""COMPUTED_VALUE"""),"LO572")</f>
        <v>LO572</v>
      </c>
      <c r="AA264" s="37" t="str">
        <f ca="1">IFERROR(__xludf.DUMMYFUNCTION("""COMPUTED_VALUE"""),"27/10/2024")</f>
        <v>27/10/2024</v>
      </c>
      <c r="AB264" s="59">
        <f ca="1">IFERROR(__xludf.DUMMYFUNCTION("""COMPUTED_VALUE"""),0.579861111111111)</f>
        <v>0.57986111111111105</v>
      </c>
    </row>
    <row r="265" spans="1:28" ht="14.55" customHeight="1" x14ac:dyDescent="0.3">
      <c r="A265" s="8">
        <v>45</v>
      </c>
      <c r="B265" s="8"/>
      <c r="C265" s="8"/>
      <c r="D265" s="8" t="str">
        <f ca="1">IFERROR(__xludf.DUMMYFUNCTION("""COMPUTED_VALUE"""),"15/08/2024")</f>
        <v>15/08/2024</v>
      </c>
      <c r="E265" s="16" t="str">
        <f ca="1">IFERROR(__xludf.DUMMYFUNCTION("""COMPUTED_VALUE"""),"Player")</f>
        <v>Player</v>
      </c>
      <c r="F265" s="8" t="str">
        <f ca="1">IFERROR(__xludf.DUMMYFUNCTION("""COMPUTED_VALUE"""),"Olde, Grete")</f>
        <v>Olde, Grete</v>
      </c>
      <c r="G265" s="8" t="str">
        <f ca="1">IFERROR(__xludf.DUMMYFUNCTION("""COMPUTED_VALUE"""),"EST")</f>
        <v>EST</v>
      </c>
      <c r="H265" s="8"/>
      <c r="I265" s="8">
        <f ca="1">IFERROR(__xludf.DUMMYFUNCTION("""COMPUTED_VALUE"""),100)</f>
        <v>100</v>
      </c>
      <c r="J265" s="8"/>
      <c r="K265" s="8"/>
      <c r="L265" s="8" t="str">
        <f ca="1">IFERROR(__xludf.DUMMYFUNCTION("""COMPUTED_VALUE"""),"Tallinn Chess Club")</f>
        <v>Tallinn Chess Club</v>
      </c>
      <c r="M265" s="8" t="str">
        <f ca="1">IFERROR(__xludf.DUMMYFUNCTION("""COMPUTED_VALUE"""),"EST")</f>
        <v>EST</v>
      </c>
      <c r="N265" s="16" t="str">
        <f ca="1">IFERROR(__xludf.DUMMYFUNCTION("""COMPUTED_VALUE"""),"Tonanti")</f>
        <v>Tonanti</v>
      </c>
      <c r="O265" s="8" t="str">
        <f ca="1">IFERROR(__xludf.DUMMYFUNCTION("""COMPUTED_VALUE"""),"Double")</f>
        <v>Double</v>
      </c>
      <c r="P265" s="8" t="str">
        <f ca="1">IFERROR(__xludf.DUMMYFUNCTION("""COMPUTED_VALUE"""),"Olde, Margareth")</f>
        <v>Olde, Margareth</v>
      </c>
      <c r="Q265" s="8">
        <f ca="1">IFERROR(__xludf.DUMMYFUNCTION("""COMPUTED_VALUE"""),8)</f>
        <v>8</v>
      </c>
      <c r="R265" s="8">
        <f ca="1">IFERROR(__xludf.DUMMYFUNCTION("""COMPUTED_VALUE"""),680)</f>
        <v>680</v>
      </c>
      <c r="S265" s="8">
        <f ca="1">IFERROR(__xludf.DUMMYFUNCTION("""COMPUTED_VALUE"""),12.8)</f>
        <v>12.8</v>
      </c>
      <c r="T265" s="8">
        <f ca="1">IFERROR(__xludf.DUMMYFUNCTION("""COMPUTED_VALUE"""),692.8)</f>
        <v>692.8</v>
      </c>
      <c r="U265" s="8"/>
      <c r="V265" s="8"/>
      <c r="W265" s="8"/>
      <c r="X265" s="8"/>
      <c r="Y265" s="8"/>
      <c r="Z265" s="37" t="str">
        <f ca="1">IFERROR(__xludf.DUMMYFUNCTION("""COMPUTED_VALUE"""),"LO572")</f>
        <v>LO572</v>
      </c>
      <c r="AA265" s="37" t="str">
        <f ca="1">IFERROR(__xludf.DUMMYFUNCTION("""COMPUTED_VALUE"""),"27/10/2024")</f>
        <v>27/10/2024</v>
      </c>
      <c r="AB265" s="64">
        <f ca="1">IFERROR(__xludf.DUMMYFUNCTION("""COMPUTED_VALUE"""),0.579861111111111)</f>
        <v>0.57986111111111105</v>
      </c>
    </row>
    <row r="266" spans="1:28" ht="14.55" customHeight="1" x14ac:dyDescent="0.3">
      <c r="A266" s="8">
        <v>46</v>
      </c>
      <c r="B266" s="8"/>
      <c r="C266" s="8" t="str">
        <f ca="1">IFERROR(__xludf.DUMMYFUNCTION("""COMPUTED_VALUE"""),"redosled")</f>
        <v>redosled</v>
      </c>
      <c r="D266" s="8" t="str">
        <f ca="1">IFERROR(__xludf.DUMMYFUNCTION("""COMPUTED_VALUE"""),"15/08/2024")</f>
        <v>15/08/2024</v>
      </c>
      <c r="E266" s="16" t="str">
        <f ca="1">IFERROR(__xludf.DUMMYFUNCTION("""COMPUTED_VALUE"""),"Player")</f>
        <v>Player</v>
      </c>
      <c r="F266" s="8" t="str">
        <f ca="1">IFERROR(__xludf.DUMMYFUNCTION("""COMPUTED_VALUE"""),"Brokko, Margit")</f>
        <v>Brokko, Margit</v>
      </c>
      <c r="G266" s="8" t="str">
        <f ca="1">IFERROR(__xludf.DUMMYFUNCTION("""COMPUTED_VALUE"""),"EST")</f>
        <v>EST</v>
      </c>
      <c r="H266" s="8"/>
      <c r="I266" s="8">
        <f ca="1">IFERROR(__xludf.DUMMYFUNCTION("""COMPUTED_VALUE"""),100)</f>
        <v>100</v>
      </c>
      <c r="J266" s="8"/>
      <c r="K266" s="8"/>
      <c r="L266" s="8" t="str">
        <f ca="1">IFERROR(__xludf.DUMMYFUNCTION("""COMPUTED_VALUE"""),"Tallinn Chess Club")</f>
        <v>Tallinn Chess Club</v>
      </c>
      <c r="M266" s="8" t="str">
        <f ca="1">IFERROR(__xludf.DUMMYFUNCTION("""COMPUTED_VALUE"""),"EST")</f>
        <v>EST</v>
      </c>
      <c r="N266" s="16" t="str">
        <f ca="1">IFERROR(__xludf.DUMMYFUNCTION("""COMPUTED_VALUE"""),"Tonanti")</f>
        <v>Tonanti</v>
      </c>
      <c r="O266" s="8" t="str">
        <f ca="1">IFERROR(__xludf.DUMMYFUNCTION("""COMPUTED_VALUE"""),"Single")</f>
        <v>Single</v>
      </c>
      <c r="P266" s="8"/>
      <c r="Q266" s="8">
        <f ca="1">IFERROR(__xludf.DUMMYFUNCTION("""COMPUTED_VALUE"""),8)</f>
        <v>8</v>
      </c>
      <c r="R266" s="8">
        <f ca="1">IFERROR(__xludf.DUMMYFUNCTION("""COMPUTED_VALUE"""),864)</f>
        <v>864</v>
      </c>
      <c r="S266" s="8">
        <f ca="1">IFERROR(__xludf.DUMMYFUNCTION("""COMPUTED_VALUE"""),12.8)</f>
        <v>12.8</v>
      </c>
      <c r="T266" s="8">
        <f ca="1">IFERROR(__xludf.DUMMYFUNCTION("""COMPUTED_VALUE"""),876.8)</f>
        <v>876.8</v>
      </c>
      <c r="U266" s="8"/>
      <c r="V266" s="8"/>
      <c r="W266" s="8"/>
      <c r="X266" s="8"/>
      <c r="Y266" s="8"/>
      <c r="Z266" s="37" t="str">
        <f ca="1">IFERROR(__xludf.DUMMYFUNCTION("""COMPUTED_VALUE"""),"LO572")</f>
        <v>LO572</v>
      </c>
      <c r="AA266" s="37" t="str">
        <f ca="1">IFERROR(__xludf.DUMMYFUNCTION("""COMPUTED_VALUE"""),"27/10/2024")</f>
        <v>27/10/2024</v>
      </c>
      <c r="AB266" s="64">
        <f ca="1">IFERROR(__xludf.DUMMYFUNCTION("""COMPUTED_VALUE"""),0.579861111111111)</f>
        <v>0.57986111111111105</v>
      </c>
    </row>
    <row r="267" spans="1:28" ht="14.55" customHeight="1" x14ac:dyDescent="0.3">
      <c r="A267" s="8">
        <v>47</v>
      </c>
      <c r="B267" s="8"/>
      <c r="C267" s="8"/>
      <c r="D267" s="13">
        <f ca="1">IFERROR(__xludf.DUMMYFUNCTION("""COMPUTED_VALUE"""),45542)</f>
        <v>45542</v>
      </c>
      <c r="E267" s="16" t="str">
        <f ca="1">IFERROR(__xludf.DUMMYFUNCTION("""COMPUTED_VALUE"""),"Player")</f>
        <v>Player</v>
      </c>
      <c r="F267" s="8" t="str">
        <f ca="1">IFERROR(__xludf.DUMMYFUNCTION("""COMPUTED_VALUE"""),"Bjarnason, Oskar")</f>
        <v>Bjarnason, Oskar</v>
      </c>
      <c r="G267" s="16" t="str">
        <f ca="1">IFERROR(__xludf.DUMMYFUNCTION("""COMPUTED_VALUE"""),"ISL")</f>
        <v>ISL</v>
      </c>
      <c r="H267" s="8"/>
      <c r="I267" s="8">
        <f ca="1">IFERROR(__xludf.DUMMYFUNCTION("""COMPUTED_VALUE"""),100)</f>
        <v>100</v>
      </c>
      <c r="J267" s="8"/>
      <c r="K267" s="8"/>
      <c r="L267" s="8" t="str">
        <f ca="1">IFERROR(__xludf.DUMMYFUNCTION("""COMPUTED_VALUE"""),"Gambit Bonnevoie I")</f>
        <v>Gambit Bonnevoie I</v>
      </c>
      <c r="M267" s="16" t="str">
        <f ca="1">IFERROR(__xludf.DUMMYFUNCTION("""COMPUTED_VALUE"""),"LUX")</f>
        <v>LUX</v>
      </c>
      <c r="N267" s="16" t="str">
        <f ca="1">IFERROR(__xludf.DUMMYFUNCTION("""COMPUTED_VALUE"""),"Fontana")</f>
        <v>Fontana</v>
      </c>
      <c r="O267" s="8"/>
      <c r="P267" s="8">
        <f ca="1">IFERROR(__xludf.DUMMYFUNCTION("""COMPUTED_VALUE"""),104)</f>
        <v>104</v>
      </c>
      <c r="Q267" s="8">
        <f ca="1">IFERROR(__xludf.DUMMYFUNCTION("""COMPUTED_VALUE"""),8)</f>
        <v>8</v>
      </c>
      <c r="R267" s="8">
        <f ca="1">IFERROR(__xludf.DUMMYFUNCTION("""COMPUTED_VALUE"""),832)</f>
        <v>832</v>
      </c>
      <c r="S267" s="8">
        <f ca="1">IFERROR(__xludf.DUMMYFUNCTION("""COMPUTED_VALUE"""),12.8)</f>
        <v>12.8</v>
      </c>
      <c r="T267" s="8">
        <f ca="1">IFERROR(__xludf.DUMMYFUNCTION("""COMPUTED_VALUE"""),844.8)</f>
        <v>844.8</v>
      </c>
      <c r="U267" s="8"/>
      <c r="V267" s="8"/>
      <c r="W267" s="8"/>
      <c r="X267" s="8"/>
      <c r="Y267" s="8"/>
      <c r="Z267" s="37" t="str">
        <f ca="1">IFERROR(__xludf.DUMMYFUNCTION("""COMPUTED_VALUE"""),"LX 1417")</f>
        <v>LX 1417</v>
      </c>
      <c r="AA267" s="37" t="str">
        <f ca="1">IFERROR(__xludf.DUMMYFUNCTION("""COMPUTED_VALUE"""),"27/10/2024")</f>
        <v>27/10/2024</v>
      </c>
      <c r="AB267" s="59">
        <f ca="1">IFERROR(__xludf.DUMMYFUNCTION("""COMPUTED_VALUE"""),0.583333333333333)</f>
        <v>0.58333333333333304</v>
      </c>
    </row>
    <row r="268" spans="1:28" ht="14.55" customHeight="1" x14ac:dyDescent="0.3">
      <c r="A268" s="8">
        <v>48</v>
      </c>
      <c r="B268" s="8"/>
      <c r="C268" s="8"/>
      <c r="D268" s="8" t="str">
        <f ca="1">IFERROR(__xludf.DUMMYFUNCTION("""COMPUTED_VALUE"""),"16/07/2024")</f>
        <v>16/07/2024</v>
      </c>
      <c r="E268" s="16" t="str">
        <f ca="1">IFERROR(__xludf.DUMMYFUNCTION("""COMPUTED_VALUE"""),"Player")</f>
        <v>Player</v>
      </c>
      <c r="F268" s="8" t="str">
        <f ca="1">IFERROR(__xludf.DUMMYFUNCTION("""COMPUTED_VALUE"""),"Bartel, Mateusz")</f>
        <v>Bartel, Mateusz</v>
      </c>
      <c r="G268" s="16" t="str">
        <f ca="1">IFERROR(__xludf.DUMMYFUNCTION("""COMPUTED_VALUE"""),"POL")</f>
        <v>POL</v>
      </c>
      <c r="H268" s="8"/>
      <c r="I268" s="8">
        <f ca="1">IFERROR(__xludf.DUMMYFUNCTION("""COMPUTED_VALUE"""),100)</f>
        <v>100</v>
      </c>
      <c r="J268" s="8"/>
      <c r="K268" s="8"/>
      <c r="L268" s="8" t="str">
        <f ca="1">IFERROR(__xludf.DUMMYFUNCTION("""COMPUTED_VALUE"""),"Novy Bor Chess Club")</f>
        <v>Novy Bor Chess Club</v>
      </c>
      <c r="M268" s="16" t="str">
        <f ca="1">IFERROR(__xludf.DUMMYFUNCTION("""COMPUTED_VALUE"""),"CZE")</f>
        <v>CZE</v>
      </c>
      <c r="N268" s="16" t="str">
        <f ca="1">IFERROR(__xludf.DUMMYFUNCTION("""COMPUTED_VALUE"""),"Fontana")</f>
        <v>Fontana</v>
      </c>
      <c r="O268" s="8"/>
      <c r="P268" s="8">
        <f ca="1">IFERROR(__xludf.DUMMYFUNCTION("""COMPUTED_VALUE"""),104)</f>
        <v>104</v>
      </c>
      <c r="Q268" s="8">
        <f ca="1">IFERROR(__xludf.DUMMYFUNCTION("""COMPUTED_VALUE"""),8)</f>
        <v>8</v>
      </c>
      <c r="R268" s="8">
        <f ca="1">IFERROR(__xludf.DUMMYFUNCTION("""COMPUTED_VALUE"""),832)</f>
        <v>832</v>
      </c>
      <c r="S268" s="8">
        <f ca="1">IFERROR(__xludf.DUMMYFUNCTION("""COMPUTED_VALUE"""),12.8)</f>
        <v>12.8</v>
      </c>
      <c r="T268" s="8">
        <f ca="1">IFERROR(__xludf.DUMMYFUNCTION("""COMPUTED_VALUE"""),844.8)</f>
        <v>844.8</v>
      </c>
      <c r="U268" s="8"/>
      <c r="V268" s="8"/>
      <c r="W268" s="8"/>
      <c r="X268" s="8"/>
      <c r="Y268" s="8"/>
      <c r="Z268" s="37" t="str">
        <f ca="1">IFERROR(__xludf.DUMMYFUNCTION("""COMPUTED_VALUE"""),"LO572")</f>
        <v>LO572</v>
      </c>
      <c r="AA268" s="37" t="str">
        <f ca="1">IFERROR(__xludf.DUMMYFUNCTION("""COMPUTED_VALUE"""),"27/10/2024")</f>
        <v>27/10/2024</v>
      </c>
      <c r="AB268" s="59">
        <f ca="1">IFERROR(__xludf.DUMMYFUNCTION("""COMPUTED_VALUE"""),0.583333333333333)</f>
        <v>0.58333333333333304</v>
      </c>
    </row>
    <row r="269" spans="1:28" ht="14.55" customHeight="1" x14ac:dyDescent="0.3">
      <c r="A269" s="8">
        <v>49</v>
      </c>
      <c r="B269" s="8"/>
      <c r="C269" s="8"/>
      <c r="D269" s="8" t="str">
        <f ca="1">IFERROR(__xludf.DUMMYFUNCTION("""COMPUTED_VALUE"""),"28/08/2024")</f>
        <v>28/08/2024</v>
      </c>
      <c r="E269" s="16" t="s">
        <v>0</v>
      </c>
      <c r="F269" s="8" t="str">
        <f ca="1">IFERROR(__xludf.DUMMYFUNCTION("""COMPUTED_VALUE"""),"Anand, Viswanathan")</f>
        <v>Anand, Viswanathan</v>
      </c>
      <c r="G269" s="16" t="str">
        <f ca="1">IFERROR(__xludf.DUMMYFUNCTION("""COMPUTED_VALUE"""),"IND")</f>
        <v>IND</v>
      </c>
      <c r="H269" s="8"/>
      <c r="I269" s="8">
        <f ca="1">IFERROR(__xludf.DUMMYFUNCTION("""COMPUTED_VALUE"""),100)</f>
        <v>100</v>
      </c>
      <c r="J269" s="8"/>
      <c r="K269" s="8"/>
      <c r="L269" s="8" t="str">
        <f ca="1">IFERROR(__xludf.DUMMYFUNCTION("""COMPUTED_VALUE"""),"SuperChess")</f>
        <v>SuperChess</v>
      </c>
      <c r="M269" s="16" t="str">
        <f ca="1">IFERROR(__xludf.DUMMYFUNCTION("""COMPUTED_VALUE"""),"ROU")</f>
        <v>ROU</v>
      </c>
      <c r="N269" s="16" t="str">
        <f ca="1">IFERROR(__xludf.DUMMYFUNCTION("""COMPUTED_VALUE"""),"Kocka")</f>
        <v>Kocka</v>
      </c>
      <c r="O269" s="8"/>
      <c r="P269" s="8">
        <f ca="1">IFERROR(__xludf.DUMMYFUNCTION("""COMPUTED_VALUE"""),104)</f>
        <v>104</v>
      </c>
      <c r="Q269" s="8">
        <f ca="1">IFERROR(__xludf.DUMMYFUNCTION("""COMPUTED_VALUE"""),5)</f>
        <v>5</v>
      </c>
      <c r="R269" s="8">
        <f ca="1">IFERROR(__xludf.DUMMYFUNCTION("""COMPUTED_VALUE"""),520)</f>
        <v>520</v>
      </c>
      <c r="S269" s="8">
        <f ca="1">IFERROR(__xludf.DUMMYFUNCTION("""COMPUTED_VALUE"""),8)</f>
        <v>8</v>
      </c>
      <c r="T269" s="8">
        <f ca="1">IFERROR(__xludf.DUMMYFUNCTION("""COMPUTED_VALUE"""),528)</f>
        <v>528</v>
      </c>
      <c r="U269" s="8"/>
      <c r="V269" s="8"/>
      <c r="W269" s="8"/>
      <c r="X269" s="8"/>
      <c r="Y269" s="8"/>
      <c r="Z269" s="37" t="str">
        <f ca="1">IFERROR(__xludf.DUMMYFUNCTION("""COMPUTED_VALUE"""),"Dubai")</f>
        <v>Dubai</v>
      </c>
      <c r="AA269" s="37" t="str">
        <f ca="1">IFERROR(__xludf.DUMMYFUNCTION("""COMPUTED_VALUE"""),"23/10/2024")</f>
        <v>23/10/2024</v>
      </c>
      <c r="AB269" s="64">
        <f ca="1">IFERROR(__xludf.DUMMYFUNCTION("""COMPUTED_VALUE"""),0.583333333333333)</f>
        <v>0.58333333333333304</v>
      </c>
    </row>
    <row r="270" spans="1:28" ht="14.55" customHeight="1" x14ac:dyDescent="0.3">
      <c r="A270" s="8">
        <v>50</v>
      </c>
      <c r="B270" s="8"/>
      <c r="C270" s="8"/>
      <c r="D270" s="13">
        <f ca="1">IFERROR(__xludf.DUMMYFUNCTION("""COMPUTED_VALUE"""),45542)</f>
        <v>45542</v>
      </c>
      <c r="E270" s="16" t="str">
        <f ca="1">IFERROR(__xludf.DUMMYFUNCTION("""COMPUTED_VALUE"""),"Player")</f>
        <v>Player</v>
      </c>
      <c r="F270" s="8" t="str">
        <f ca="1">IFERROR(__xludf.DUMMYFUNCTION("""COMPUTED_VALUE"""),"Vijups, Dans")</f>
        <v>Vijups, Dans</v>
      </c>
      <c r="G270" s="16" t="str">
        <f ca="1">IFERROR(__xludf.DUMMYFUNCTION("""COMPUTED_VALUE"""),"LAT")</f>
        <v>LAT</v>
      </c>
      <c r="H270" s="8"/>
      <c r="I270" s="8">
        <f ca="1">IFERROR(__xludf.DUMMYFUNCTION("""COMPUTED_VALUE"""),100)</f>
        <v>100</v>
      </c>
      <c r="J270" s="8"/>
      <c r="K270" s="8"/>
      <c r="L270" s="8" t="str">
        <f ca="1">IFERROR(__xludf.DUMMYFUNCTION("""COMPUTED_VALUE"""),"Gambit Bonnevoie II")</f>
        <v>Gambit Bonnevoie II</v>
      </c>
      <c r="M270" s="16" t="str">
        <f ca="1">IFERROR(__xludf.DUMMYFUNCTION("""COMPUTED_VALUE"""),"LUX")</f>
        <v>LUX</v>
      </c>
      <c r="N270" s="16" t="str">
        <f ca="1">IFERROR(__xludf.DUMMYFUNCTION("""COMPUTED_VALUE"""),"Fontana")</f>
        <v>Fontana</v>
      </c>
      <c r="O270" s="8"/>
      <c r="P270" s="8">
        <f ca="1">IFERROR(__xludf.DUMMYFUNCTION("""COMPUTED_VALUE"""),104)</f>
        <v>104</v>
      </c>
      <c r="Q270" s="8">
        <f ca="1">IFERROR(__xludf.DUMMYFUNCTION("""COMPUTED_VALUE"""),8)</f>
        <v>8</v>
      </c>
      <c r="R270" s="8">
        <f ca="1">IFERROR(__xludf.DUMMYFUNCTION("""COMPUTED_VALUE"""),832)</f>
        <v>832</v>
      </c>
      <c r="S270" s="8">
        <f ca="1">IFERROR(__xludf.DUMMYFUNCTION("""COMPUTED_VALUE"""),12.8)</f>
        <v>12.8</v>
      </c>
      <c r="T270" s="8">
        <f ca="1">IFERROR(__xludf.DUMMYFUNCTION("""COMPUTED_VALUE"""),844.8)</f>
        <v>844.8</v>
      </c>
      <c r="U270" s="8"/>
      <c r="V270" s="8"/>
      <c r="W270" s="8"/>
      <c r="X270" s="8"/>
      <c r="Y270" s="8"/>
      <c r="Z270" s="37" t="str">
        <f ca="1">IFERROR(__xludf.DUMMYFUNCTION("""COMPUTED_VALUE"""),"LX 1417")</f>
        <v>LX 1417</v>
      </c>
      <c r="AA270" s="37" t="str">
        <f ca="1">IFERROR(__xludf.DUMMYFUNCTION("""COMPUTED_VALUE"""),"27/10/2024")</f>
        <v>27/10/2024</v>
      </c>
      <c r="AB270" s="59">
        <f ca="1">IFERROR(__xludf.DUMMYFUNCTION("""COMPUTED_VALUE"""),0.607638888888888)</f>
        <v>0.60763888888888795</v>
      </c>
    </row>
    <row r="271" spans="1:28" ht="14.55" customHeight="1" x14ac:dyDescent="0.3">
      <c r="A271" s="8">
        <v>51</v>
      </c>
      <c r="B271" s="8"/>
      <c r="C271" s="8"/>
      <c r="D271" s="8" t="str">
        <f ca="1">IFERROR(__xludf.DUMMYFUNCTION("""COMPUTED_VALUE"""),"23/08/2024")</f>
        <v>23/08/2024</v>
      </c>
      <c r="E271" s="16" t="str">
        <f ca="1">IFERROR(__xludf.DUMMYFUNCTION("""COMPUTED_VALUE"""),"Player")</f>
        <v>Player</v>
      </c>
      <c r="F271" s="8" t="str">
        <f ca="1">IFERROR(__xludf.DUMMYFUNCTION("""COMPUTED_VALUE"""),"Navrotescu, Andreea")</f>
        <v>Navrotescu, Andreea</v>
      </c>
      <c r="G271" s="8" t="str">
        <f ca="1">IFERROR(__xludf.DUMMYFUNCTION("""COMPUTED_VALUE"""),"FRA")</f>
        <v>FRA</v>
      </c>
      <c r="H271" s="8"/>
      <c r="I271" s="8">
        <f ca="1">IFERROR(__xludf.DUMMYFUNCTION("""COMPUTED_VALUE"""),100)</f>
        <v>100</v>
      </c>
      <c r="J271" s="8"/>
      <c r="K271" s="8"/>
      <c r="L271" s="8" t="str">
        <f ca="1">IFERROR(__xludf.DUMMYFUNCTION("""COMPUTED_VALUE"""),"SK JAVES Modra")</f>
        <v>SK JAVES Modra</v>
      </c>
      <c r="M271" s="8" t="str">
        <f ca="1">IFERROR(__xludf.DUMMYFUNCTION("""COMPUTED_VALUE"""),"SVK")</f>
        <v>SVK</v>
      </c>
      <c r="N271" s="16" t="str">
        <f ca="1">IFERROR(__xludf.DUMMYFUNCTION("""COMPUTED_VALUE"""),"Zepter")</f>
        <v>Zepter</v>
      </c>
      <c r="O271" s="8" t="str">
        <f ca="1">IFERROR(__xludf.DUMMYFUNCTION("""COMPUTED_VALUE"""),"Double")</f>
        <v>Double</v>
      </c>
      <c r="P271" s="8"/>
      <c r="Q271" s="8">
        <f ca="1">IFERROR(__xludf.DUMMYFUNCTION("""COMPUTED_VALUE"""),7)</f>
        <v>7</v>
      </c>
      <c r="R271" s="8">
        <f ca="1">IFERROR(__xludf.DUMMYFUNCTION("""COMPUTED_VALUE"""),0)</f>
        <v>0</v>
      </c>
      <c r="S271" s="8">
        <f ca="1">IFERROR(__xludf.DUMMYFUNCTION("""COMPUTED_VALUE"""),11.2)</f>
        <v>11.2</v>
      </c>
      <c r="T271" s="8">
        <f ca="1">IFERROR(__xludf.DUMMYFUNCTION("""COMPUTED_VALUE"""),11.2)</f>
        <v>11.2</v>
      </c>
      <c r="U271" s="8"/>
      <c r="V271" s="8"/>
      <c r="W271" s="8"/>
      <c r="X271" s="8"/>
      <c r="Y271" s="8"/>
      <c r="Z271" s="37" t="str">
        <f ca="1">IFERROR(__xludf.DUMMYFUNCTION("""COMPUTED_VALUE"""),"LX 1417")</f>
        <v>LX 1417</v>
      </c>
      <c r="AA271" s="37" t="str">
        <f ca="1">IFERROR(__xludf.DUMMYFUNCTION("""COMPUTED_VALUE"""),"27/10/2024")</f>
        <v>27/10/2024</v>
      </c>
      <c r="AB271" s="64">
        <f ca="1">IFERROR(__xludf.DUMMYFUNCTION("""COMPUTED_VALUE"""),0.607638888888888)</f>
        <v>0.60763888888888795</v>
      </c>
    </row>
    <row r="272" spans="1:28" ht="14.55" customHeight="1" x14ac:dyDescent="0.25">
      <c r="A272" s="8">
        <v>52</v>
      </c>
      <c r="B272" s="8"/>
      <c r="C272" s="8"/>
      <c r="D272" s="8" t="str">
        <f ca="1">IFERROR(__xludf.DUMMYFUNCTION("""COMPUTED_VALUE"""),"15/08/2024")</f>
        <v>15/08/2024</v>
      </c>
      <c r="E272" s="16" t="s">
        <v>0</v>
      </c>
      <c r="F272" s="8" t="s">
        <v>57</v>
      </c>
      <c r="G272" s="16" t="str">
        <f ca="1">IFERROR(__xludf.DUMMYFUNCTION("""COMPUTED_VALUE"""),"TUR")</f>
        <v>TUR</v>
      </c>
      <c r="H272" s="8"/>
      <c r="I272" s="8">
        <f ca="1">IFERROR(__xludf.DUMMYFUNCTION("""COMPUTED_VALUE"""),100)</f>
        <v>100</v>
      </c>
      <c r="J272" s="8"/>
      <c r="K272" s="8"/>
      <c r="L272" s="8" t="str">
        <f ca="1">IFERROR(__xludf.DUMMYFUNCTION("""COMPUTED_VALUE"""),"Turkish Airlines")</f>
        <v>Turkish Airlines</v>
      </c>
      <c r="M272" s="16" t="str">
        <f ca="1">IFERROR(__xludf.DUMMYFUNCTION("""COMPUTED_VALUE"""),"TUR")</f>
        <v>TUR</v>
      </c>
      <c r="N272" s="16" t="str">
        <f ca="1">IFERROR(__xludf.DUMMYFUNCTION("""COMPUTED_VALUE"""),"Terme")</f>
        <v>Terme</v>
      </c>
      <c r="O272" s="8"/>
      <c r="P272" s="8">
        <f ca="1">IFERROR(__xludf.DUMMYFUNCTION("""COMPUTED_VALUE"""),104)</f>
        <v>104</v>
      </c>
      <c r="Q272" s="8">
        <f ca="1">IFERROR(__xludf.DUMMYFUNCTION("""COMPUTED_VALUE"""),8)</f>
        <v>8</v>
      </c>
      <c r="R272" s="8">
        <f ca="1">IFERROR(__xludf.DUMMYFUNCTION("""COMPUTED_VALUE"""),832)</f>
        <v>832</v>
      </c>
      <c r="S272" s="8">
        <f ca="1">IFERROR(__xludf.DUMMYFUNCTION("""COMPUTED_VALUE"""),12.8)</f>
        <v>12.8</v>
      </c>
      <c r="T272" s="8">
        <f ca="1">IFERROR(__xludf.DUMMYFUNCTION("""COMPUTED_VALUE"""),844.8)</f>
        <v>844.8</v>
      </c>
      <c r="U272" s="8"/>
      <c r="V272" s="8"/>
      <c r="W272" s="8"/>
      <c r="X272" s="8"/>
      <c r="Y272" s="8"/>
      <c r="Z272" s="72" t="s">
        <v>43</v>
      </c>
      <c r="AA272" s="37" t="str">
        <f ca="1">IFERROR(__xludf.DUMMYFUNCTION("""COMPUTED_VALUE"""),"27/10/2024")</f>
        <v>27/10/2024</v>
      </c>
      <c r="AB272" s="60" t="s">
        <v>58</v>
      </c>
    </row>
    <row r="273" spans="1:28" ht="14.55" customHeight="1" x14ac:dyDescent="0.3">
      <c r="A273" s="8">
        <v>53</v>
      </c>
      <c r="B273" s="8"/>
      <c r="C273" s="8"/>
      <c r="D273" s="13">
        <f ca="1">IFERROR(__xludf.DUMMYFUNCTION("""COMPUTED_VALUE"""),45542)</f>
        <v>45542</v>
      </c>
      <c r="E273" s="16" t="str">
        <f ca="1">IFERROR(__xludf.DUMMYFUNCTION("""COMPUTED_VALUE"""),"Player")</f>
        <v>Player</v>
      </c>
      <c r="F273" s="8" t="str">
        <f ca="1">IFERROR(__xludf.DUMMYFUNCTION("""COMPUTED_VALUE"""),"Halafov, Ilgar")</f>
        <v>Halafov, Ilgar</v>
      </c>
      <c r="G273" s="16" t="str">
        <f ca="1">IFERROR(__xludf.DUMMYFUNCTION("""COMPUTED_VALUE"""),"AZE")</f>
        <v>AZE</v>
      </c>
      <c r="H273" s="8"/>
      <c r="I273" s="8">
        <f ca="1">IFERROR(__xludf.DUMMYFUNCTION("""COMPUTED_VALUE"""),100)</f>
        <v>100</v>
      </c>
      <c r="J273" s="8"/>
      <c r="K273" s="8"/>
      <c r="L273" s="8" t="str">
        <f ca="1">IFERROR(__xludf.DUMMYFUNCTION("""COMPUTED_VALUE"""),"Gambit Bonnevoie II")</f>
        <v>Gambit Bonnevoie II</v>
      </c>
      <c r="M273" s="16" t="str">
        <f ca="1">IFERROR(__xludf.DUMMYFUNCTION("""COMPUTED_VALUE"""),"LUX")</f>
        <v>LUX</v>
      </c>
      <c r="N273" s="16" t="str">
        <f ca="1">IFERROR(__xludf.DUMMYFUNCTION("""COMPUTED_VALUE"""),"Fontana")</f>
        <v>Fontana</v>
      </c>
      <c r="O273" s="8" t="str">
        <f ca="1">IFERROR(__xludf.DUMMYFUNCTION("""COMPUTED_VALUE"""),"Kamilova, Glushan")</f>
        <v>Kamilova, Glushan</v>
      </c>
      <c r="P273" s="8">
        <f ca="1">IFERROR(__xludf.DUMMYFUNCTION("""COMPUTED_VALUE"""),84)</f>
        <v>84</v>
      </c>
      <c r="Q273" s="8">
        <f ca="1">IFERROR(__xludf.DUMMYFUNCTION("""COMPUTED_VALUE"""),8)</f>
        <v>8</v>
      </c>
      <c r="R273" s="8">
        <f ca="1">IFERROR(__xludf.DUMMYFUNCTION("""COMPUTED_VALUE"""),672)</f>
        <v>672</v>
      </c>
      <c r="S273" s="8">
        <f ca="1">IFERROR(__xludf.DUMMYFUNCTION("""COMPUTED_VALUE"""),12.8)</f>
        <v>12.8</v>
      </c>
      <c r="T273" s="8">
        <f ca="1">IFERROR(__xludf.DUMMYFUNCTION("""COMPUTED_VALUE"""),684.8)</f>
        <v>684.8</v>
      </c>
      <c r="U273" s="8"/>
      <c r="V273" s="8"/>
      <c r="W273" s="8"/>
      <c r="X273" s="8"/>
      <c r="Y273" s="8"/>
      <c r="Z273" s="37" t="str">
        <f ca="1">IFERROR(__xludf.DUMMYFUNCTION("""COMPUTED_VALUE"""),"TK 1080")</f>
        <v>TK 1080</v>
      </c>
      <c r="AA273" s="37" t="str">
        <f ca="1">IFERROR(__xludf.DUMMYFUNCTION("""COMPUTED_VALUE"""),"27/10/2024")</f>
        <v>27/10/2024</v>
      </c>
      <c r="AB273" s="59">
        <f ca="1">IFERROR(__xludf.DUMMYFUNCTION("""COMPUTED_VALUE"""),0.621527777777777)</f>
        <v>0.62152777777777701</v>
      </c>
    </row>
    <row r="274" spans="1:28" ht="14.55" customHeight="1" x14ac:dyDescent="0.3">
      <c r="A274" s="8">
        <v>54</v>
      </c>
      <c r="B274" s="8"/>
      <c r="C274" s="8"/>
      <c r="D274" s="13">
        <f ca="1">IFERROR(__xludf.DUMMYFUNCTION("""COMPUTED_VALUE"""),45542)</f>
        <v>45542</v>
      </c>
      <c r="E274" s="16" t="s">
        <v>0</v>
      </c>
      <c r="F274" s="8" t="str">
        <f ca="1">IFERROR(__xludf.DUMMYFUNCTION("""COMPUTED_VALUE"""),"Kamilova, Glushan")</f>
        <v>Kamilova, Glushan</v>
      </c>
      <c r="G274" s="16" t="str">
        <f ca="1">IFERROR(__xludf.DUMMYFUNCTION("""COMPUTED_VALUE"""),"AZE")</f>
        <v>AZE</v>
      </c>
      <c r="H274" s="8"/>
      <c r="I274" s="8">
        <f ca="1">IFERROR(__xludf.DUMMYFUNCTION("""COMPUTED_VALUE"""),100)</f>
        <v>100</v>
      </c>
      <c r="J274" s="8"/>
      <c r="K274" s="8"/>
      <c r="L274" s="8" t="str">
        <f ca="1">IFERROR(__xludf.DUMMYFUNCTION("""COMPUTED_VALUE"""),"Gambit Bonnevoie II")</f>
        <v>Gambit Bonnevoie II</v>
      </c>
      <c r="M274" s="16" t="str">
        <f ca="1">IFERROR(__xludf.DUMMYFUNCTION("""COMPUTED_VALUE"""),"LUX")</f>
        <v>LUX</v>
      </c>
      <c r="N274" s="16" t="str">
        <f ca="1">IFERROR(__xludf.DUMMYFUNCTION("""COMPUTED_VALUE"""),"Fontana")</f>
        <v>Fontana</v>
      </c>
      <c r="O274" s="8" t="str">
        <f ca="1">IFERROR(__xludf.DUMMYFUNCTION("""COMPUTED_VALUE"""),"Halafov, Ilgar")</f>
        <v>Halafov, Ilgar</v>
      </c>
      <c r="P274" s="8">
        <f ca="1">IFERROR(__xludf.DUMMYFUNCTION("""COMPUTED_VALUE"""),84)</f>
        <v>84</v>
      </c>
      <c r="Q274" s="8">
        <f ca="1">IFERROR(__xludf.DUMMYFUNCTION("""COMPUTED_VALUE"""),8)</f>
        <v>8</v>
      </c>
      <c r="R274" s="8">
        <f ca="1">IFERROR(__xludf.DUMMYFUNCTION("""COMPUTED_VALUE"""),672)</f>
        <v>672</v>
      </c>
      <c r="S274" s="8">
        <f ca="1">IFERROR(__xludf.DUMMYFUNCTION("""COMPUTED_VALUE"""),12.8)</f>
        <v>12.8</v>
      </c>
      <c r="T274" s="8">
        <f ca="1">IFERROR(__xludf.DUMMYFUNCTION("""COMPUTED_VALUE"""),684.8)</f>
        <v>684.8</v>
      </c>
      <c r="U274" s="8"/>
      <c r="V274" s="8"/>
      <c r="W274" s="8"/>
      <c r="X274" s="8"/>
      <c r="Y274" s="8"/>
      <c r="Z274" s="37" t="str">
        <f ca="1">IFERROR(__xludf.DUMMYFUNCTION("""COMPUTED_VALUE"""),"TK 1080")</f>
        <v>TK 1080</v>
      </c>
      <c r="AA274" s="37" t="str">
        <f ca="1">IFERROR(__xludf.DUMMYFUNCTION("""COMPUTED_VALUE"""),"27/10/2024")</f>
        <v>27/10/2024</v>
      </c>
      <c r="AB274" s="59">
        <f ca="1">IFERROR(__xludf.DUMMYFUNCTION("""COMPUTED_VALUE"""),0.621527777777777)</f>
        <v>0.62152777777777701</v>
      </c>
    </row>
    <row r="275" spans="1:28" ht="14.55" customHeight="1" x14ac:dyDescent="0.3">
      <c r="A275" s="8">
        <v>55</v>
      </c>
      <c r="B275" s="8"/>
      <c r="C275" s="8"/>
      <c r="D275" s="8" t="str">
        <f ca="1">IFERROR(__xludf.DUMMYFUNCTION("""COMPUTED_VALUE"""),"14/08/2024")</f>
        <v>14/08/2024</v>
      </c>
      <c r="E275" s="16" t="str">
        <f ca="1">IFERROR(__xludf.DUMMYFUNCTION("""COMPUTED_VALUE"""),"Player")</f>
        <v>Player</v>
      </c>
      <c r="F275" s="8" t="str">
        <f ca="1">IFERROR(__xludf.DUMMYFUNCTION("""COMPUTED_VALUE"""),"Yakubboev, Nodirbek")</f>
        <v>Yakubboev, Nodirbek</v>
      </c>
      <c r="G275" s="16" t="str">
        <f ca="1">IFERROR(__xludf.DUMMYFUNCTION("""COMPUTED_VALUE"""),"UZB")</f>
        <v>UZB</v>
      </c>
      <c r="H275" s="8"/>
      <c r="I275" s="8">
        <f ca="1">IFERROR(__xludf.DUMMYFUNCTION("""COMPUTED_VALUE"""),100)</f>
        <v>100</v>
      </c>
      <c r="J275" s="8"/>
      <c r="K275" s="8"/>
      <c r="L275" s="8" t="str">
        <f ca="1">IFERROR(__xludf.DUMMYFUNCTION("""COMPUTED_VALUE"""),"Tajfun SK")</f>
        <v>Tajfun SK</v>
      </c>
      <c r="M275" s="16" t="str">
        <f ca="1">IFERROR(__xludf.DUMMYFUNCTION("""COMPUTED_VALUE"""),"SLO")</f>
        <v>SLO</v>
      </c>
      <c r="N275" s="16" t="str">
        <f ca="1">IFERROR(__xludf.DUMMYFUNCTION("""COMPUTED_VALUE"""),"Tonanti")</f>
        <v>Tonanti</v>
      </c>
      <c r="O275" s="8"/>
      <c r="P275" s="8">
        <f ca="1">IFERROR(__xludf.DUMMYFUNCTION("""COMPUTED_VALUE"""),108)</f>
        <v>108</v>
      </c>
      <c r="Q275" s="8">
        <f ca="1">IFERROR(__xludf.DUMMYFUNCTION("""COMPUTED_VALUE"""),8)</f>
        <v>8</v>
      </c>
      <c r="R275" s="8">
        <f ca="1">IFERROR(__xludf.DUMMYFUNCTION("""COMPUTED_VALUE"""),864)</f>
        <v>864</v>
      </c>
      <c r="S275" s="8">
        <f ca="1">IFERROR(__xludf.DUMMYFUNCTION("""COMPUTED_VALUE"""),12.8)</f>
        <v>12.8</v>
      </c>
      <c r="T275" s="8">
        <f ca="1">IFERROR(__xludf.DUMMYFUNCTION("""COMPUTED_VALUE"""),876.8)</f>
        <v>876.8</v>
      </c>
      <c r="U275" s="8"/>
      <c r="V275" s="8"/>
      <c r="W275" s="8"/>
      <c r="X275" s="8"/>
      <c r="Y275" s="8"/>
      <c r="Z275" s="37" t="s">
        <v>43</v>
      </c>
      <c r="AA275" s="37" t="str">
        <f ca="1">IFERROR(__xludf.DUMMYFUNCTION("""COMPUTED_VALUE"""),"27/10/2024")</f>
        <v>27/10/2024</v>
      </c>
      <c r="AB275" s="59">
        <v>0.62152777777777779</v>
      </c>
    </row>
    <row r="276" spans="1:28" ht="14.55" customHeight="1" x14ac:dyDescent="0.3">
      <c r="A276" s="8">
        <v>56</v>
      </c>
      <c r="B276" s="8"/>
      <c r="C276" s="8"/>
      <c r="D276" s="13">
        <f ca="1">IFERROR(__xludf.DUMMYFUNCTION("""COMPUTED_VALUE"""),45391)</f>
        <v>45391</v>
      </c>
      <c r="E276" s="16"/>
      <c r="F276" s="8" t="s">
        <v>48</v>
      </c>
      <c r="G276" s="16"/>
      <c r="H276" s="8"/>
      <c r="I276" s="8"/>
      <c r="J276" s="8"/>
      <c r="K276" s="8"/>
      <c r="L276" s="8" t="str">
        <f ca="1">IFERROR(__xludf.DUMMYFUNCTION("""COMPUTED_VALUE"""),"Vugar Gashimov")</f>
        <v>Vugar Gashimov</v>
      </c>
      <c r="M276" s="16" t="str">
        <f ca="1">IFERROR(__xludf.DUMMYFUNCTION("""COMPUTED_VALUE"""),"AZE")</f>
        <v>AZE</v>
      </c>
      <c r="N276" s="16" t="str">
        <f ca="1">IFERROR(__xludf.DUMMYFUNCTION("""COMPUTED_VALUE"""),"Zepter")</f>
        <v>Zepter</v>
      </c>
      <c r="O276" s="8"/>
      <c r="P276" s="8">
        <f ca="1">IFERROR(__xludf.DUMMYFUNCTION("""COMPUTED_VALUE"""),104)</f>
        <v>104</v>
      </c>
      <c r="Q276" s="8">
        <f ca="1">IFERROR(__xludf.DUMMYFUNCTION("""COMPUTED_VALUE"""),8)</f>
        <v>8</v>
      </c>
      <c r="R276" s="8">
        <f ca="1">IFERROR(__xludf.DUMMYFUNCTION("""COMPUTED_VALUE"""),832)</f>
        <v>832</v>
      </c>
      <c r="S276" s="8">
        <f ca="1">IFERROR(__xludf.DUMMYFUNCTION("""COMPUTED_VALUE"""),12.8)</f>
        <v>12.8</v>
      </c>
      <c r="T276" s="8">
        <f ca="1">IFERROR(__xludf.DUMMYFUNCTION("""COMPUTED_VALUE"""),844.8)</f>
        <v>844.8</v>
      </c>
      <c r="U276" s="8"/>
      <c r="V276" s="8"/>
      <c r="W276" s="8"/>
      <c r="X276" s="8"/>
      <c r="Y276" s="8"/>
      <c r="Z276" s="37" t="str">
        <f ca="1">IFERROR(__xludf.DUMMYFUNCTION("""COMPUTED_VALUE"""),"TK 1080")</f>
        <v>TK 1080</v>
      </c>
      <c r="AA276" s="37" t="str">
        <f ca="1">IFERROR(__xludf.DUMMYFUNCTION("""COMPUTED_VALUE"""),"27/10/2024")</f>
        <v>27/10/2024</v>
      </c>
      <c r="AB276" s="59">
        <v>0.62152777777777779</v>
      </c>
    </row>
    <row r="277" spans="1:28" ht="14.55" customHeight="1" x14ac:dyDescent="0.3">
      <c r="A277" s="8">
        <v>57</v>
      </c>
      <c r="B277" s="8"/>
      <c r="C277" s="8"/>
      <c r="D277" s="13">
        <f ca="1">IFERROR(__xludf.DUMMYFUNCTION("""COMPUTED_VALUE"""),45391)</f>
        <v>45391</v>
      </c>
      <c r="E277" s="16"/>
      <c r="F277" s="8" t="s">
        <v>47</v>
      </c>
      <c r="G277" s="16"/>
      <c r="H277" s="8"/>
      <c r="I277" s="8">
        <f ca="1">IFERROR(__xludf.DUMMYFUNCTION("""COMPUTED_VALUE"""),100)</f>
        <v>100</v>
      </c>
      <c r="J277" s="8"/>
      <c r="K277" s="8"/>
      <c r="L277" s="8" t="str">
        <f ca="1">IFERROR(__xludf.DUMMYFUNCTION("""COMPUTED_VALUE"""),"Vugar Gashimov")</f>
        <v>Vugar Gashimov</v>
      </c>
      <c r="M277" s="16" t="str">
        <f ca="1">IFERROR(__xludf.DUMMYFUNCTION("""COMPUTED_VALUE"""),"AZE")</f>
        <v>AZE</v>
      </c>
      <c r="N277" s="16" t="str">
        <f ca="1">IFERROR(__xludf.DUMMYFUNCTION("""COMPUTED_VALUE"""),"Zepter")</f>
        <v>Zepter</v>
      </c>
      <c r="O277" s="8"/>
      <c r="P277" s="8">
        <f ca="1">IFERROR(__xludf.DUMMYFUNCTION("""COMPUTED_VALUE"""),104)</f>
        <v>104</v>
      </c>
      <c r="Q277" s="8">
        <f ca="1">IFERROR(__xludf.DUMMYFUNCTION("""COMPUTED_VALUE"""),8)</f>
        <v>8</v>
      </c>
      <c r="R277" s="8">
        <f ca="1">IFERROR(__xludf.DUMMYFUNCTION("""COMPUTED_VALUE"""),832)</f>
        <v>832</v>
      </c>
      <c r="S277" s="8">
        <f ca="1">IFERROR(__xludf.DUMMYFUNCTION("""COMPUTED_VALUE"""),12.8)</f>
        <v>12.8</v>
      </c>
      <c r="T277" s="8">
        <f ca="1">IFERROR(__xludf.DUMMYFUNCTION("""COMPUTED_VALUE"""),844.8)</f>
        <v>844.8</v>
      </c>
      <c r="U277" s="8"/>
      <c r="V277" s="8"/>
      <c r="W277" s="8"/>
      <c r="X277" s="8"/>
      <c r="Y277" s="8"/>
      <c r="Z277" s="37" t="str">
        <f ca="1">IFERROR(__xludf.DUMMYFUNCTION("""COMPUTED_VALUE"""),"TK 1080")</f>
        <v>TK 1080</v>
      </c>
      <c r="AA277" s="37" t="str">
        <f ca="1">IFERROR(__xludf.DUMMYFUNCTION("""COMPUTED_VALUE"""),"27/10/2024")</f>
        <v>27/10/2024</v>
      </c>
      <c r="AB277" s="59">
        <v>0.62152777777777779</v>
      </c>
    </row>
    <row r="278" spans="1:28" ht="14.55" customHeight="1" x14ac:dyDescent="0.3">
      <c r="A278" s="8">
        <v>58</v>
      </c>
      <c r="B278" s="8"/>
      <c r="C278" s="8"/>
      <c r="D278" s="13">
        <f ca="1">IFERROR(__xludf.DUMMYFUNCTION("""COMPUTED_VALUE"""),45391)</f>
        <v>45391</v>
      </c>
      <c r="E278" s="16" t="str">
        <f ca="1">IFERROR(__xludf.DUMMYFUNCTION("""COMPUTED_VALUE"""),"Player")</f>
        <v>Player</v>
      </c>
      <c r="F278" s="8" t="str">
        <f ca="1">IFERROR(__xludf.DUMMYFUNCTION("""COMPUTED_VALUE"""),"Mamedov, Rauf")</f>
        <v>Mamedov, Rauf</v>
      </c>
      <c r="G278" s="16" t="str">
        <f ca="1">IFERROR(__xludf.DUMMYFUNCTION("""COMPUTED_VALUE"""),"AZE")</f>
        <v>AZE</v>
      </c>
      <c r="H278" s="8"/>
      <c r="I278" s="8">
        <f ca="1">IFERROR(__xludf.DUMMYFUNCTION("""COMPUTED_VALUE"""),100)</f>
        <v>100</v>
      </c>
      <c r="J278" s="8"/>
      <c r="K278" s="8"/>
      <c r="L278" s="8" t="str">
        <f ca="1">IFERROR(__xludf.DUMMYFUNCTION("""COMPUTED_VALUE"""),"Vugar Gashimov")</f>
        <v>Vugar Gashimov</v>
      </c>
      <c r="M278" s="16" t="str">
        <f ca="1">IFERROR(__xludf.DUMMYFUNCTION("""COMPUTED_VALUE"""),"AZE")</f>
        <v>AZE</v>
      </c>
      <c r="N278" s="16" t="str">
        <f ca="1">IFERROR(__xludf.DUMMYFUNCTION("""COMPUTED_VALUE"""),"Zepter")</f>
        <v>Zepter</v>
      </c>
      <c r="O278" s="8"/>
      <c r="P278" s="8">
        <f ca="1">IFERROR(__xludf.DUMMYFUNCTION("""COMPUTED_VALUE"""),104)</f>
        <v>104</v>
      </c>
      <c r="Q278" s="8">
        <f ca="1">IFERROR(__xludf.DUMMYFUNCTION("""COMPUTED_VALUE"""),8)</f>
        <v>8</v>
      </c>
      <c r="R278" s="8">
        <f ca="1">IFERROR(__xludf.DUMMYFUNCTION("""COMPUTED_VALUE"""),832)</f>
        <v>832</v>
      </c>
      <c r="S278" s="8">
        <f ca="1">IFERROR(__xludf.DUMMYFUNCTION("""COMPUTED_VALUE"""),12.8)</f>
        <v>12.8</v>
      </c>
      <c r="T278" s="8">
        <f ca="1">IFERROR(__xludf.DUMMYFUNCTION("""COMPUTED_VALUE"""),844.8)</f>
        <v>844.8</v>
      </c>
      <c r="U278" s="8"/>
      <c r="V278" s="8"/>
      <c r="W278" s="8"/>
      <c r="X278" s="8"/>
      <c r="Y278" s="8"/>
      <c r="Z278" s="37" t="str">
        <f ca="1">IFERROR(__xludf.DUMMYFUNCTION("""COMPUTED_VALUE"""),"TK 1080")</f>
        <v>TK 1080</v>
      </c>
      <c r="AA278" s="37" t="str">
        <f ca="1">IFERROR(__xludf.DUMMYFUNCTION("""COMPUTED_VALUE"""),"27/10/2024")</f>
        <v>27/10/2024</v>
      </c>
      <c r="AB278" s="59">
        <v>0.62152777777777779</v>
      </c>
    </row>
    <row r="279" spans="1:28" ht="14.55" customHeight="1" x14ac:dyDescent="0.3">
      <c r="A279" s="8">
        <v>59</v>
      </c>
      <c r="B279" s="8"/>
      <c r="C279" s="8"/>
      <c r="D279" s="13">
        <f ca="1">IFERROR(__xludf.DUMMYFUNCTION("""COMPUTED_VALUE"""),45391)</f>
        <v>45391</v>
      </c>
      <c r="E279" s="16" t="str">
        <f ca="1">IFERROR(__xludf.DUMMYFUNCTION("""COMPUTED_VALUE"""),"Player")</f>
        <v>Player</v>
      </c>
      <c r="F279" s="8" t="str">
        <f ca="1">IFERROR(__xludf.DUMMYFUNCTION("""COMPUTED_VALUE"""),"Suleymanli, Aydin")</f>
        <v>Suleymanli, Aydin</v>
      </c>
      <c r="G279" s="16" t="str">
        <f ca="1">IFERROR(__xludf.DUMMYFUNCTION("""COMPUTED_VALUE"""),"AZE")</f>
        <v>AZE</v>
      </c>
      <c r="H279" s="8"/>
      <c r="I279" s="8">
        <f ca="1">IFERROR(__xludf.DUMMYFUNCTION("""COMPUTED_VALUE"""),100)</f>
        <v>100</v>
      </c>
      <c r="J279" s="8"/>
      <c r="K279" s="8"/>
      <c r="L279" s="8" t="str">
        <f ca="1">IFERROR(__xludf.DUMMYFUNCTION("""COMPUTED_VALUE"""),"Vugar Gashimov")</f>
        <v>Vugar Gashimov</v>
      </c>
      <c r="M279" s="16" t="str">
        <f ca="1">IFERROR(__xludf.DUMMYFUNCTION("""COMPUTED_VALUE"""),"AZE")</f>
        <v>AZE</v>
      </c>
      <c r="N279" s="16" t="str">
        <f ca="1">IFERROR(__xludf.DUMMYFUNCTION("""COMPUTED_VALUE"""),"Zepter")</f>
        <v>Zepter</v>
      </c>
      <c r="O279" s="8"/>
      <c r="P279" s="8">
        <f ca="1">IFERROR(__xludf.DUMMYFUNCTION("""COMPUTED_VALUE"""),104)</f>
        <v>104</v>
      </c>
      <c r="Q279" s="8">
        <f ca="1">IFERROR(__xludf.DUMMYFUNCTION("""COMPUTED_VALUE"""),8)</f>
        <v>8</v>
      </c>
      <c r="R279" s="8">
        <f ca="1">IFERROR(__xludf.DUMMYFUNCTION("""COMPUTED_VALUE"""),832)</f>
        <v>832</v>
      </c>
      <c r="S279" s="8">
        <f ca="1">IFERROR(__xludf.DUMMYFUNCTION("""COMPUTED_VALUE"""),12.8)</f>
        <v>12.8</v>
      </c>
      <c r="T279" s="8">
        <f ca="1">IFERROR(__xludf.DUMMYFUNCTION("""COMPUTED_VALUE"""),844.8)</f>
        <v>844.8</v>
      </c>
      <c r="U279" s="8"/>
      <c r="V279" s="8"/>
      <c r="W279" s="8"/>
      <c r="X279" s="8"/>
      <c r="Y279" s="8"/>
      <c r="Z279" s="37" t="str">
        <f ca="1">IFERROR(__xludf.DUMMYFUNCTION("""COMPUTED_VALUE"""),"TK 1080")</f>
        <v>TK 1080</v>
      </c>
      <c r="AA279" s="37" t="str">
        <f ca="1">IFERROR(__xludf.DUMMYFUNCTION("""COMPUTED_VALUE"""),"27/10/2024")</f>
        <v>27/10/2024</v>
      </c>
      <c r="AB279" s="59">
        <v>0.62152777777777779</v>
      </c>
    </row>
    <row r="280" spans="1:28" ht="14.55" customHeight="1" x14ac:dyDescent="0.3">
      <c r="A280" s="8">
        <v>60</v>
      </c>
      <c r="B280" s="8"/>
      <c r="C280" s="8"/>
      <c r="D280" s="13">
        <f ca="1">IFERROR(__xludf.DUMMYFUNCTION("""COMPUTED_VALUE"""),45391)</f>
        <v>45391</v>
      </c>
      <c r="E280" s="16" t="str">
        <f ca="1">IFERROR(__xludf.DUMMYFUNCTION("""COMPUTED_VALUE"""),"Player")</f>
        <v>Player</v>
      </c>
      <c r="F280" s="8" t="str">
        <f ca="1">IFERROR(__xludf.DUMMYFUNCTION("""COMPUTED_VALUE"""),"Asadli, Vugar")</f>
        <v>Asadli, Vugar</v>
      </c>
      <c r="G280" s="16" t="str">
        <f ca="1">IFERROR(__xludf.DUMMYFUNCTION("""COMPUTED_VALUE"""),"AZE")</f>
        <v>AZE</v>
      </c>
      <c r="H280" s="8"/>
      <c r="I280" s="8">
        <f ca="1">IFERROR(__xludf.DUMMYFUNCTION("""COMPUTED_VALUE"""),100)</f>
        <v>100</v>
      </c>
      <c r="J280" s="8"/>
      <c r="K280" s="8"/>
      <c r="L280" s="8" t="str">
        <f ca="1">IFERROR(__xludf.DUMMYFUNCTION("""COMPUTED_VALUE"""),"Vugar Gashimov")</f>
        <v>Vugar Gashimov</v>
      </c>
      <c r="M280" s="16" t="str">
        <f ca="1">IFERROR(__xludf.DUMMYFUNCTION("""COMPUTED_VALUE"""),"AZE")</f>
        <v>AZE</v>
      </c>
      <c r="N280" s="16" t="str">
        <f ca="1">IFERROR(__xludf.DUMMYFUNCTION("""COMPUTED_VALUE"""),"Zepter")</f>
        <v>Zepter</v>
      </c>
      <c r="O280" s="8"/>
      <c r="P280" s="8">
        <f ca="1">IFERROR(__xludf.DUMMYFUNCTION("""COMPUTED_VALUE"""),104)</f>
        <v>104</v>
      </c>
      <c r="Q280" s="8">
        <f ca="1">IFERROR(__xludf.DUMMYFUNCTION("""COMPUTED_VALUE"""),8)</f>
        <v>8</v>
      </c>
      <c r="R280" s="8">
        <f ca="1">IFERROR(__xludf.DUMMYFUNCTION("""COMPUTED_VALUE"""),832)</f>
        <v>832</v>
      </c>
      <c r="S280" s="8">
        <f ca="1">IFERROR(__xludf.DUMMYFUNCTION("""COMPUTED_VALUE"""),12.8)</f>
        <v>12.8</v>
      </c>
      <c r="T280" s="8">
        <f ca="1">IFERROR(__xludf.DUMMYFUNCTION("""COMPUTED_VALUE"""),844.8)</f>
        <v>844.8</v>
      </c>
      <c r="U280" s="8"/>
      <c r="V280" s="8"/>
      <c r="W280" s="8"/>
      <c r="X280" s="8"/>
      <c r="Y280" s="8"/>
      <c r="Z280" s="37" t="str">
        <f ca="1">IFERROR(__xludf.DUMMYFUNCTION("""COMPUTED_VALUE"""),"TK 1080")</f>
        <v>TK 1080</v>
      </c>
      <c r="AA280" s="37" t="str">
        <f ca="1">IFERROR(__xludf.DUMMYFUNCTION("""COMPUTED_VALUE"""),"27/10/2024")</f>
        <v>27/10/2024</v>
      </c>
      <c r="AB280" s="59">
        <v>0.62152777777777779</v>
      </c>
    </row>
    <row r="281" spans="1:28" ht="14.55" customHeight="1" x14ac:dyDescent="0.3">
      <c r="A281" s="8">
        <v>61</v>
      </c>
      <c r="B281" s="8"/>
      <c r="C281" s="8"/>
      <c r="D281" s="13">
        <f ca="1">IFERROR(__xludf.DUMMYFUNCTION("""COMPUTED_VALUE"""),45391)</f>
        <v>45391</v>
      </c>
      <c r="E281" s="16" t="str">
        <f ca="1">IFERROR(__xludf.DUMMYFUNCTION("""COMPUTED_VALUE"""),"Player")</f>
        <v>Player</v>
      </c>
      <c r="F281" s="8" t="str">
        <f ca="1">IFERROR(__xludf.DUMMYFUNCTION("""COMPUTED_VALUE"""),"Ahmadzada, Ahmad")</f>
        <v>Ahmadzada, Ahmad</v>
      </c>
      <c r="G281" s="16" t="str">
        <f ca="1">IFERROR(__xludf.DUMMYFUNCTION("""COMPUTED_VALUE"""),"AZE")</f>
        <v>AZE</v>
      </c>
      <c r="H281" s="8"/>
      <c r="I281" s="8">
        <f ca="1">IFERROR(__xludf.DUMMYFUNCTION("""COMPUTED_VALUE"""),100)</f>
        <v>100</v>
      </c>
      <c r="J281" s="8"/>
      <c r="K281" s="8"/>
      <c r="L281" s="8" t="str">
        <f ca="1">IFERROR(__xludf.DUMMYFUNCTION("""COMPUTED_VALUE"""),"Vugar Gashimov")</f>
        <v>Vugar Gashimov</v>
      </c>
      <c r="M281" s="16" t="str">
        <f ca="1">IFERROR(__xludf.DUMMYFUNCTION("""COMPUTED_VALUE"""),"AZE")</f>
        <v>AZE</v>
      </c>
      <c r="N281" s="16" t="str">
        <f ca="1">IFERROR(__xludf.DUMMYFUNCTION("""COMPUTED_VALUE"""),"Zepter")</f>
        <v>Zepter</v>
      </c>
      <c r="O281" s="8"/>
      <c r="P281" s="8">
        <f ca="1">IFERROR(__xludf.DUMMYFUNCTION("""COMPUTED_VALUE"""),104)</f>
        <v>104</v>
      </c>
      <c r="Q281" s="8">
        <f ca="1">IFERROR(__xludf.DUMMYFUNCTION("""COMPUTED_VALUE"""),8)</f>
        <v>8</v>
      </c>
      <c r="R281" s="8">
        <f ca="1">IFERROR(__xludf.DUMMYFUNCTION("""COMPUTED_VALUE"""),832)</f>
        <v>832</v>
      </c>
      <c r="S281" s="8">
        <f ca="1">IFERROR(__xludf.DUMMYFUNCTION("""COMPUTED_VALUE"""),12.8)</f>
        <v>12.8</v>
      </c>
      <c r="T281" s="8">
        <f ca="1">IFERROR(__xludf.DUMMYFUNCTION("""COMPUTED_VALUE"""),844.8)</f>
        <v>844.8</v>
      </c>
      <c r="U281" s="8"/>
      <c r="V281" s="8"/>
      <c r="W281" s="8"/>
      <c r="X281" s="8"/>
      <c r="Y281" s="8"/>
      <c r="Z281" s="37" t="str">
        <f ca="1">IFERROR(__xludf.DUMMYFUNCTION("""COMPUTED_VALUE"""),"TK 1080")</f>
        <v>TK 1080</v>
      </c>
      <c r="AA281" s="37" t="str">
        <f ca="1">IFERROR(__xludf.DUMMYFUNCTION("""COMPUTED_VALUE"""),"27/10/2024")</f>
        <v>27/10/2024</v>
      </c>
      <c r="AB281" s="59">
        <v>0.62152777777777779</v>
      </c>
    </row>
    <row r="282" spans="1:28" ht="14.55" customHeight="1" x14ac:dyDescent="0.3">
      <c r="A282" s="8">
        <v>62</v>
      </c>
      <c r="B282" s="8"/>
      <c r="C282" s="8"/>
      <c r="D282" s="13">
        <f ca="1">IFERROR(__xludf.DUMMYFUNCTION("""COMPUTED_VALUE"""),45391)</f>
        <v>45391</v>
      </c>
      <c r="E282" s="16" t="str">
        <f ca="1">IFERROR(__xludf.DUMMYFUNCTION("""COMPUTED_VALUE"""),"Player")</f>
        <v>Player</v>
      </c>
      <c r="F282" s="8" t="str">
        <f ca="1">IFERROR(__xludf.DUMMYFUNCTION("""COMPUTED_VALUE"""),"Manafov, Vugar")</f>
        <v>Manafov, Vugar</v>
      </c>
      <c r="G282" s="16" t="str">
        <f ca="1">IFERROR(__xludf.DUMMYFUNCTION("""COMPUTED_VALUE"""),"AZE")</f>
        <v>AZE</v>
      </c>
      <c r="H282" s="8"/>
      <c r="I282" s="8">
        <f ca="1">IFERROR(__xludf.DUMMYFUNCTION("""COMPUTED_VALUE"""),100)</f>
        <v>100</v>
      </c>
      <c r="J282" s="8"/>
      <c r="K282" s="8"/>
      <c r="L282" s="8" t="str">
        <f ca="1">IFERROR(__xludf.DUMMYFUNCTION("""COMPUTED_VALUE"""),"Vugar Gashimov")</f>
        <v>Vugar Gashimov</v>
      </c>
      <c r="M282" s="16" t="str">
        <f ca="1">IFERROR(__xludf.DUMMYFUNCTION("""COMPUTED_VALUE"""),"AZE")</f>
        <v>AZE</v>
      </c>
      <c r="N282" s="16" t="str">
        <f ca="1">IFERROR(__xludf.DUMMYFUNCTION("""COMPUTED_VALUE"""),"Zepter")</f>
        <v>Zepter</v>
      </c>
      <c r="O282" s="8"/>
      <c r="P282" s="8">
        <f ca="1">IFERROR(__xludf.DUMMYFUNCTION("""COMPUTED_VALUE"""),104)</f>
        <v>104</v>
      </c>
      <c r="Q282" s="8">
        <f ca="1">IFERROR(__xludf.DUMMYFUNCTION("""COMPUTED_VALUE"""),8)</f>
        <v>8</v>
      </c>
      <c r="R282" s="8">
        <f ca="1">IFERROR(__xludf.DUMMYFUNCTION("""COMPUTED_VALUE"""),832)</f>
        <v>832</v>
      </c>
      <c r="S282" s="8">
        <f ca="1">IFERROR(__xludf.DUMMYFUNCTION("""COMPUTED_VALUE"""),12.8)</f>
        <v>12.8</v>
      </c>
      <c r="T282" s="8">
        <f ca="1">IFERROR(__xludf.DUMMYFUNCTION("""COMPUTED_VALUE"""),844.8)</f>
        <v>844.8</v>
      </c>
      <c r="U282" s="8"/>
      <c r="V282" s="8"/>
      <c r="W282" s="8"/>
      <c r="X282" s="8"/>
      <c r="Y282" s="8"/>
      <c r="Z282" s="37" t="str">
        <f ca="1">IFERROR(__xludf.DUMMYFUNCTION("""COMPUTED_VALUE"""),"TK 1080")</f>
        <v>TK 1080</v>
      </c>
      <c r="AA282" s="37" t="str">
        <f ca="1">IFERROR(__xludf.DUMMYFUNCTION("""COMPUTED_VALUE"""),"27/10/2024")</f>
        <v>27/10/2024</v>
      </c>
      <c r="AB282" s="59">
        <v>0.62152777777777779</v>
      </c>
    </row>
    <row r="283" spans="1:28" ht="14.55" customHeight="1" x14ac:dyDescent="0.3">
      <c r="A283" s="8">
        <v>63</v>
      </c>
      <c r="B283" s="8"/>
      <c r="C283" s="8"/>
      <c r="D283" s="13">
        <f ca="1">IFERROR(__xludf.DUMMYFUNCTION("""COMPUTED_VALUE"""),45391)</f>
        <v>45391</v>
      </c>
      <c r="E283" s="16" t="str">
        <f ca="1">IFERROR(__xludf.DUMMYFUNCTION("""COMPUTED_VALUE"""),"Player")</f>
        <v>Player</v>
      </c>
      <c r="F283" s="8" t="str">
        <f ca="1">IFERROR(__xludf.DUMMYFUNCTION("""COMPUTED_VALUE"""),"Sadikhov, Ulvi")</f>
        <v>Sadikhov, Ulvi</v>
      </c>
      <c r="G283" s="16" t="str">
        <f ca="1">IFERROR(__xludf.DUMMYFUNCTION("""COMPUTED_VALUE"""),"AZE")</f>
        <v>AZE</v>
      </c>
      <c r="H283" s="8"/>
      <c r="I283" s="8">
        <f ca="1">IFERROR(__xludf.DUMMYFUNCTION("""COMPUTED_VALUE"""),100)</f>
        <v>100</v>
      </c>
      <c r="J283" s="8"/>
      <c r="K283" s="8"/>
      <c r="L283" s="8" t="str">
        <f ca="1">IFERROR(__xludf.DUMMYFUNCTION("""COMPUTED_VALUE"""),"Vugar Gashimov")</f>
        <v>Vugar Gashimov</v>
      </c>
      <c r="M283" s="16" t="str">
        <f ca="1">IFERROR(__xludf.DUMMYFUNCTION("""COMPUTED_VALUE"""),"AZE")</f>
        <v>AZE</v>
      </c>
      <c r="N283" s="16" t="str">
        <f ca="1">IFERROR(__xludf.DUMMYFUNCTION("""COMPUTED_VALUE"""),"Zepter")</f>
        <v>Zepter</v>
      </c>
      <c r="O283" s="8"/>
      <c r="P283" s="8">
        <f ca="1">IFERROR(__xludf.DUMMYFUNCTION("""COMPUTED_VALUE"""),104)</f>
        <v>104</v>
      </c>
      <c r="Q283" s="8">
        <f ca="1">IFERROR(__xludf.DUMMYFUNCTION("""COMPUTED_VALUE"""),8)</f>
        <v>8</v>
      </c>
      <c r="R283" s="8">
        <f ca="1">IFERROR(__xludf.DUMMYFUNCTION("""COMPUTED_VALUE"""),832)</f>
        <v>832</v>
      </c>
      <c r="S283" s="8">
        <f ca="1">IFERROR(__xludf.DUMMYFUNCTION("""COMPUTED_VALUE"""),12.8)</f>
        <v>12.8</v>
      </c>
      <c r="T283" s="8">
        <f ca="1">IFERROR(__xludf.DUMMYFUNCTION("""COMPUTED_VALUE"""),844.8)</f>
        <v>844.8</v>
      </c>
      <c r="U283" s="8"/>
      <c r="V283" s="8"/>
      <c r="W283" s="8"/>
      <c r="X283" s="8"/>
      <c r="Y283" s="8"/>
      <c r="Z283" s="37" t="str">
        <f ca="1">IFERROR(__xludf.DUMMYFUNCTION("""COMPUTED_VALUE"""),"TK 1080")</f>
        <v>TK 1080</v>
      </c>
      <c r="AA283" s="37" t="str">
        <f ca="1">IFERROR(__xludf.DUMMYFUNCTION("""COMPUTED_VALUE"""),"27/10/2024")</f>
        <v>27/10/2024</v>
      </c>
      <c r="AB283" s="59">
        <v>0.62152777777777779</v>
      </c>
    </row>
    <row r="284" spans="1:28" ht="14.55" customHeight="1" x14ac:dyDescent="0.3">
      <c r="A284" s="8">
        <v>64</v>
      </c>
      <c r="B284" s="8"/>
      <c r="C284" s="8"/>
      <c r="D284" s="13">
        <f ca="1">IFERROR(__xludf.DUMMYFUNCTION("""COMPUTED_VALUE"""),45391)</f>
        <v>45391</v>
      </c>
      <c r="E284" s="16" t="str">
        <f ca="1">IFERROR(__xludf.DUMMYFUNCTION("""COMPUTED_VALUE"""),"Player")</f>
        <v>Player</v>
      </c>
      <c r="F284" s="8" t="str">
        <f ca="1">IFERROR(__xludf.DUMMYFUNCTION("""COMPUTED_VALUE"""),"Samadov, Read")</f>
        <v>Samadov, Read</v>
      </c>
      <c r="G284" s="16" t="str">
        <f ca="1">IFERROR(__xludf.DUMMYFUNCTION("""COMPUTED_VALUE"""),"AZE")</f>
        <v>AZE</v>
      </c>
      <c r="H284" s="8"/>
      <c r="I284" s="8">
        <f ca="1">IFERROR(__xludf.DUMMYFUNCTION("""COMPUTED_VALUE"""),100)</f>
        <v>100</v>
      </c>
      <c r="J284" s="8"/>
      <c r="K284" s="8"/>
      <c r="L284" s="8" t="str">
        <f ca="1">IFERROR(__xludf.DUMMYFUNCTION("""COMPUTED_VALUE"""),"Vugar Gashimov")</f>
        <v>Vugar Gashimov</v>
      </c>
      <c r="M284" s="16" t="str">
        <f ca="1">IFERROR(__xludf.DUMMYFUNCTION("""COMPUTED_VALUE"""),"AZE")</f>
        <v>AZE</v>
      </c>
      <c r="N284" s="16" t="str">
        <f ca="1">IFERROR(__xludf.DUMMYFUNCTION("""COMPUTED_VALUE"""),"Zepter")</f>
        <v>Zepter</v>
      </c>
      <c r="O284" s="8"/>
      <c r="P284" s="8">
        <f ca="1">IFERROR(__xludf.DUMMYFUNCTION("""COMPUTED_VALUE"""),104)</f>
        <v>104</v>
      </c>
      <c r="Q284" s="8">
        <f ca="1">IFERROR(__xludf.DUMMYFUNCTION("""COMPUTED_VALUE"""),8)</f>
        <v>8</v>
      </c>
      <c r="R284" s="8">
        <f ca="1">IFERROR(__xludf.DUMMYFUNCTION("""COMPUTED_VALUE"""),832)</f>
        <v>832</v>
      </c>
      <c r="S284" s="8">
        <f ca="1">IFERROR(__xludf.DUMMYFUNCTION("""COMPUTED_VALUE"""),12.8)</f>
        <v>12.8</v>
      </c>
      <c r="T284" s="8">
        <f ca="1">IFERROR(__xludf.DUMMYFUNCTION("""COMPUTED_VALUE"""),844.8)</f>
        <v>844.8</v>
      </c>
      <c r="U284" s="8"/>
      <c r="V284" s="8"/>
      <c r="W284" s="8"/>
      <c r="X284" s="8"/>
      <c r="Y284" s="8"/>
      <c r="Z284" s="37" t="str">
        <f ca="1">IFERROR(__xludf.DUMMYFUNCTION("""COMPUTED_VALUE"""),"TK 1080")</f>
        <v>TK 1080</v>
      </c>
      <c r="AA284" s="37" t="str">
        <f ca="1">IFERROR(__xludf.DUMMYFUNCTION("""COMPUTED_VALUE"""),"27/10/2024")</f>
        <v>27/10/2024</v>
      </c>
      <c r="AB284" s="59">
        <v>0.62152777777777779</v>
      </c>
    </row>
    <row r="285" spans="1:28" ht="14.55" customHeight="1" x14ac:dyDescent="0.3">
      <c r="A285" s="8">
        <v>65</v>
      </c>
      <c r="B285" s="8"/>
      <c r="C285" s="8"/>
      <c r="D285" s="8" t="str">
        <f ca="1">IFERROR(__xludf.DUMMYFUNCTION("""COMPUTED_VALUE"""),"23/08/2024")</f>
        <v>23/08/2024</v>
      </c>
      <c r="E285" s="16" t="str">
        <f ca="1">IFERROR(__xludf.DUMMYFUNCTION("""COMPUTED_VALUE"""),"Player")</f>
        <v>Player</v>
      </c>
      <c r="F285" s="8" t="str">
        <f ca="1">IFERROR(__xludf.DUMMYFUNCTION("""COMPUTED_VALUE"""),"Assaubayeva, Bibisara")</f>
        <v>Assaubayeva, Bibisara</v>
      </c>
      <c r="G285" s="8" t="str">
        <f ca="1">IFERROR(__xludf.DUMMYFUNCTION("""COMPUTED_VALUE"""),"KAZ")</f>
        <v>KAZ</v>
      </c>
      <c r="H285" s="8"/>
      <c r="I285" s="8">
        <f ca="1">IFERROR(__xludf.DUMMYFUNCTION("""COMPUTED_VALUE"""),100)</f>
        <v>100</v>
      </c>
      <c r="J285" s="8"/>
      <c r="K285" s="8"/>
      <c r="L285" s="8" t="str">
        <f ca="1">IFERROR(__xludf.DUMMYFUNCTION("""COMPUTED_VALUE"""),"Garuda Ajka BSK")</f>
        <v>Garuda Ajka BSK</v>
      </c>
      <c r="M285" s="8" t="str">
        <f ca="1">IFERROR(__xludf.DUMMYFUNCTION("""COMPUTED_VALUE"""),"HUN")</f>
        <v>HUN</v>
      </c>
      <c r="N285" s="16" t="str">
        <f ca="1">IFERROR(__xludf.DUMMYFUNCTION("""COMPUTED_VALUE"""),"Terme")</f>
        <v>Terme</v>
      </c>
      <c r="O285" s="8" t="str">
        <f ca="1">IFERROR(__xludf.DUMMYFUNCTION("""COMPUTED_VALUE"""),"Single")</f>
        <v>Single</v>
      </c>
      <c r="P285" s="8"/>
      <c r="Q285" s="8">
        <f ca="1">IFERROR(__xludf.DUMMYFUNCTION("""COMPUTED_VALUE"""),8)</f>
        <v>8</v>
      </c>
      <c r="R285" s="8">
        <f ca="1">IFERROR(__xludf.DUMMYFUNCTION("""COMPUTED_VALUE"""),832)</f>
        <v>832</v>
      </c>
      <c r="S285" s="8">
        <f ca="1">IFERROR(__xludf.DUMMYFUNCTION("""COMPUTED_VALUE"""),12.8)</f>
        <v>12.8</v>
      </c>
      <c r="T285" s="8">
        <f ca="1">IFERROR(__xludf.DUMMYFUNCTION("""COMPUTED_VALUE"""),844.8)</f>
        <v>844.8</v>
      </c>
      <c r="U285" s="8"/>
      <c r="V285" s="8"/>
      <c r="W285" s="8"/>
      <c r="X285" s="8"/>
      <c r="Y285" s="8"/>
      <c r="Z285" s="37" t="str">
        <f ca="1">IFERROR(__xludf.DUMMYFUNCTION("""COMPUTED_VALUE"""),"TK1080")</f>
        <v>TK1080</v>
      </c>
      <c r="AA285" s="37" t="str">
        <f ca="1">IFERROR(__xludf.DUMMYFUNCTION("""COMPUTED_VALUE"""),"27/10/2024")</f>
        <v>27/10/2024</v>
      </c>
      <c r="AB285" s="64">
        <f ca="1">IFERROR(__xludf.DUMMYFUNCTION("""COMPUTED_VALUE"""),0.631944444444444)</f>
        <v>0.63194444444444398</v>
      </c>
    </row>
    <row r="286" spans="1:28" ht="14.55" customHeight="1" x14ac:dyDescent="0.3">
      <c r="A286" s="8">
        <v>66</v>
      </c>
      <c r="B286" s="8"/>
      <c r="C286" s="8"/>
      <c r="D286" s="8" t="str">
        <f ca="1">IFERROR(__xludf.DUMMYFUNCTION("""COMPUTED_VALUE"""),"28/08/2024")</f>
        <v>28/08/2024</v>
      </c>
      <c r="E286" s="16" t="str">
        <f ca="1">IFERROR(__xludf.DUMMYFUNCTION("""COMPUTED_VALUE"""),"Player")</f>
        <v>Player</v>
      </c>
      <c r="F286" s="8" t="str">
        <f ca="1">IFERROR(__xludf.DUMMYFUNCTION("""COMPUTED_VALUE"""),"Fataliyeva, Ulviyya")</f>
        <v>Fataliyeva, Ulviyya</v>
      </c>
      <c r="G286" s="8" t="str">
        <f ca="1">IFERROR(__xludf.DUMMYFUNCTION("""COMPUTED_VALUE"""),"AZE")</f>
        <v>AZE</v>
      </c>
      <c r="H286" s="8"/>
      <c r="I286" s="8">
        <f ca="1">IFERROR(__xludf.DUMMYFUNCTION("""COMPUTED_VALUE"""),100)</f>
        <v>100</v>
      </c>
      <c r="J286" s="8"/>
      <c r="K286" s="8"/>
      <c r="L286" s="8" t="str">
        <f ca="1">IFERROR(__xludf.DUMMYFUNCTION("""COMPUTED_VALUE"""),"SuperChess")</f>
        <v>SuperChess</v>
      </c>
      <c r="M286" s="8" t="str">
        <f ca="1">IFERROR(__xludf.DUMMYFUNCTION("""COMPUTED_VALUE"""),"ROU")</f>
        <v>ROU</v>
      </c>
      <c r="N286" s="16" t="str">
        <f ca="1">IFERROR(__xludf.DUMMYFUNCTION("""COMPUTED_VALUE"""),"Kocka")</f>
        <v>Kocka</v>
      </c>
      <c r="O286" s="8" t="str">
        <f ca="1">IFERROR(__xludf.DUMMYFUNCTION("""COMPUTED_VALUE"""),"Single")</f>
        <v>Single</v>
      </c>
      <c r="P286" s="8"/>
      <c r="Q286" s="8">
        <f ca="1">IFERROR(__xludf.DUMMYFUNCTION("""COMPUTED_VALUE"""),8)</f>
        <v>8</v>
      </c>
      <c r="R286" s="8">
        <f ca="1">IFERROR(__xludf.DUMMYFUNCTION("""COMPUTED_VALUE"""),832)</f>
        <v>832</v>
      </c>
      <c r="S286" s="8">
        <f ca="1">IFERROR(__xludf.DUMMYFUNCTION("""COMPUTED_VALUE"""),12.8)</f>
        <v>12.8</v>
      </c>
      <c r="T286" s="8">
        <f ca="1">IFERROR(__xludf.DUMMYFUNCTION("""COMPUTED_VALUE"""),844.8)</f>
        <v>844.8</v>
      </c>
      <c r="U286" s="8"/>
      <c r="V286" s="8"/>
      <c r="W286" s="8"/>
      <c r="X286" s="8"/>
      <c r="Y286" s="8"/>
      <c r="Z286" s="37" t="str">
        <f ca="1">IFERROR(__xludf.DUMMYFUNCTION("""COMPUTED_VALUE"""),"TK1080")</f>
        <v>TK1080</v>
      </c>
      <c r="AA286" s="37" t="str">
        <f ca="1">IFERROR(__xludf.DUMMYFUNCTION("""COMPUTED_VALUE"""),"27/10/2024")</f>
        <v>27/10/2024</v>
      </c>
      <c r="AB286" s="64">
        <f ca="1">IFERROR(__xludf.DUMMYFUNCTION("""COMPUTED_VALUE"""),0.631944444444444)</f>
        <v>0.63194444444444398</v>
      </c>
    </row>
    <row r="287" spans="1:28" ht="14.55" customHeight="1" x14ac:dyDescent="0.3">
      <c r="A287" s="8">
        <v>67</v>
      </c>
      <c r="B287" s="8"/>
      <c r="C287" s="8"/>
      <c r="D287" s="8" t="str">
        <f ca="1">IFERROR(__xludf.DUMMYFUNCTION("""COMPUTED_VALUE"""),"14/08/2024")</f>
        <v>14/08/2024</v>
      </c>
      <c r="E287" s="16" t="str">
        <f ca="1">IFERROR(__xludf.DUMMYFUNCTION("""COMPUTED_VALUE"""),"Player")</f>
        <v>Player</v>
      </c>
      <c r="F287" s="8" t="str">
        <f ca="1">IFERROR(__xludf.DUMMYFUNCTION("""COMPUTED_VALUE"""),"Dzagnidze, Nana")</f>
        <v>Dzagnidze, Nana</v>
      </c>
      <c r="G287" s="8" t="str">
        <f ca="1">IFERROR(__xludf.DUMMYFUNCTION("""COMPUTED_VALUE"""),"GEO")</f>
        <v>GEO</v>
      </c>
      <c r="H287" s="8"/>
      <c r="I287" s="8">
        <f ca="1">IFERROR(__xludf.DUMMYFUNCTION("""COMPUTED_VALUE"""),100)</f>
        <v>100</v>
      </c>
      <c r="J287" s="8"/>
      <c r="K287" s="8"/>
      <c r="L287" s="8" t="str">
        <f ca="1">IFERROR(__xludf.DUMMYFUNCTION("""COMPUTED_VALUE"""),"Tajfun SK")</f>
        <v>Tajfun SK</v>
      </c>
      <c r="M287" s="8" t="str">
        <f ca="1">IFERROR(__xludf.DUMMYFUNCTION("""COMPUTED_VALUE"""),"SLO")</f>
        <v>SLO</v>
      </c>
      <c r="N287" s="16" t="str">
        <f ca="1">IFERROR(__xludf.DUMMYFUNCTION("""COMPUTED_VALUE"""),"Tonanti")</f>
        <v>Tonanti</v>
      </c>
      <c r="O287" s="8" t="str">
        <f ca="1">IFERROR(__xludf.DUMMYFUNCTION("""COMPUTED_VALUE"""),"Single")</f>
        <v>Single</v>
      </c>
      <c r="P287" s="8"/>
      <c r="Q287" s="8">
        <f ca="1">IFERROR(__xludf.DUMMYFUNCTION("""COMPUTED_VALUE"""),9)</f>
        <v>9</v>
      </c>
      <c r="R287" s="8">
        <f ca="1">IFERROR(__xludf.DUMMYFUNCTION("""COMPUTED_VALUE"""),972)</f>
        <v>972</v>
      </c>
      <c r="S287" s="8">
        <f ca="1">IFERROR(__xludf.DUMMYFUNCTION("""COMPUTED_VALUE"""),14.4)</f>
        <v>14.4</v>
      </c>
      <c r="T287" s="8">
        <f ca="1">IFERROR(__xludf.DUMMYFUNCTION("""COMPUTED_VALUE"""),986.4)</f>
        <v>986.4</v>
      </c>
      <c r="U287" s="8"/>
      <c r="V287" s="8"/>
      <c r="W287" s="8"/>
      <c r="X287" s="8"/>
      <c r="Y287" s="8"/>
      <c r="Z287" s="37" t="str">
        <f ca="1">IFERROR(__xludf.DUMMYFUNCTION("""COMPUTED_VALUE"""),"TK1080")</f>
        <v>TK1080</v>
      </c>
      <c r="AA287" s="37" t="str">
        <f ca="1">IFERROR(__xludf.DUMMYFUNCTION("""COMPUTED_VALUE"""),"27/10/2024")</f>
        <v>27/10/2024</v>
      </c>
      <c r="AB287" s="64">
        <f ca="1">IFERROR(__xludf.DUMMYFUNCTION("""COMPUTED_VALUE"""),0.631944444444444)</f>
        <v>0.63194444444444398</v>
      </c>
    </row>
    <row r="288" spans="1:28" ht="14.55" customHeight="1" x14ac:dyDescent="0.25">
      <c r="A288" s="8">
        <v>68</v>
      </c>
      <c r="B288" s="8"/>
      <c r="C288" s="8"/>
      <c r="D288" s="8" t="str">
        <f ca="1">IFERROR(__xludf.DUMMYFUNCTION("""COMPUTED_VALUE"""),"15/08/2024")</f>
        <v>15/08/2024</v>
      </c>
      <c r="E288" s="16" t="str">
        <f ca="1">IFERROR(__xludf.DUMMYFUNCTION("""COMPUTED_VALUE"""),"Player")</f>
        <v>Player</v>
      </c>
      <c r="F288" s="8" t="str">
        <f ca="1">IFERROR(__xludf.DUMMYFUNCTION("""COMPUTED_VALUE"""),"Maghsoodloo, Parham")</f>
        <v>Maghsoodloo, Parham</v>
      </c>
      <c r="G288" s="16" t="str">
        <f ca="1">IFERROR(__xludf.DUMMYFUNCTION("""COMPUTED_VALUE"""),"IRI")</f>
        <v>IRI</v>
      </c>
      <c r="H288" s="8"/>
      <c r="I288" s="8">
        <f ca="1">IFERROR(__xludf.DUMMYFUNCTION("""COMPUTED_VALUE"""),100)</f>
        <v>100</v>
      </c>
      <c r="J288" s="8"/>
      <c r="K288" s="8"/>
      <c r="L288" s="8" t="str">
        <f ca="1">IFERROR(__xludf.DUMMYFUNCTION("""COMPUTED_VALUE"""),"Turkish Airlines")</f>
        <v>Turkish Airlines</v>
      </c>
      <c r="M288" s="16" t="str">
        <f ca="1">IFERROR(__xludf.DUMMYFUNCTION("""COMPUTED_VALUE"""),"TUR")</f>
        <v>TUR</v>
      </c>
      <c r="N288" s="16" t="str">
        <f ca="1">IFERROR(__xludf.DUMMYFUNCTION("""COMPUTED_VALUE"""),"Terme")</f>
        <v>Terme</v>
      </c>
      <c r="O288" s="8"/>
      <c r="P288" s="8">
        <f ca="1">IFERROR(__xludf.DUMMYFUNCTION("""COMPUTED_VALUE"""),104)</f>
        <v>104</v>
      </c>
      <c r="Q288" s="8">
        <f ca="1">IFERROR(__xludf.DUMMYFUNCTION("""COMPUTED_VALUE"""),8)</f>
        <v>8</v>
      </c>
      <c r="R288" s="8">
        <f ca="1">IFERROR(__xludf.DUMMYFUNCTION("""COMPUTED_VALUE"""),832)</f>
        <v>832</v>
      </c>
      <c r="S288" s="8">
        <f ca="1">IFERROR(__xludf.DUMMYFUNCTION("""COMPUTED_VALUE"""),12.8)</f>
        <v>12.8</v>
      </c>
      <c r="T288" s="8">
        <f ca="1">IFERROR(__xludf.DUMMYFUNCTION("""COMPUTED_VALUE"""),844.8)</f>
        <v>844.8</v>
      </c>
      <c r="U288" s="8"/>
      <c r="V288" s="8"/>
      <c r="W288" s="8"/>
      <c r="X288" s="8"/>
      <c r="Y288" s="8"/>
      <c r="Z288" s="72" t="s">
        <v>43</v>
      </c>
      <c r="AA288" s="37" t="str">
        <f ca="1">IFERROR(__xludf.DUMMYFUNCTION("""COMPUTED_VALUE"""),"27/10/2024")</f>
        <v>27/10/2024</v>
      </c>
      <c r="AB288" s="60" t="s">
        <v>51</v>
      </c>
    </row>
    <row r="289" spans="1:28" ht="14.55" customHeight="1" x14ac:dyDescent="0.25">
      <c r="A289" s="8">
        <v>69</v>
      </c>
      <c r="B289" s="8"/>
      <c r="C289" s="8"/>
      <c r="D289" s="8" t="str">
        <f ca="1">IFERROR(__xludf.DUMMYFUNCTION("""COMPUTED_VALUE"""),"15/08/2024")</f>
        <v>15/08/2024</v>
      </c>
      <c r="E289" s="16" t="str">
        <f ca="1">IFERROR(__xludf.DUMMYFUNCTION("""COMPUTED_VALUE"""),"Player")</f>
        <v>Player</v>
      </c>
      <c r="F289" s="8" t="str">
        <f ca="1">IFERROR(__xludf.DUMMYFUNCTION("""COMPUTED_VALUE"""),"Tabatabaei, M. Amin")</f>
        <v>Tabatabaei, M. Amin</v>
      </c>
      <c r="G289" s="16" t="str">
        <f ca="1">IFERROR(__xludf.DUMMYFUNCTION("""COMPUTED_VALUE"""),"IRI")</f>
        <v>IRI</v>
      </c>
      <c r="H289" s="8"/>
      <c r="I289" s="8">
        <f ca="1">IFERROR(__xludf.DUMMYFUNCTION("""COMPUTED_VALUE"""),100)</f>
        <v>100</v>
      </c>
      <c r="J289" s="8"/>
      <c r="K289" s="8"/>
      <c r="L289" s="8" t="str">
        <f ca="1">IFERROR(__xludf.DUMMYFUNCTION("""COMPUTED_VALUE"""),"Turkish Airlines")</f>
        <v>Turkish Airlines</v>
      </c>
      <c r="M289" s="16" t="str">
        <f ca="1">IFERROR(__xludf.DUMMYFUNCTION("""COMPUTED_VALUE"""),"TUR")</f>
        <v>TUR</v>
      </c>
      <c r="N289" s="16" t="str">
        <f ca="1">IFERROR(__xludf.DUMMYFUNCTION("""COMPUTED_VALUE"""),"Terme")</f>
        <v>Terme</v>
      </c>
      <c r="O289" s="8"/>
      <c r="P289" s="8">
        <f ca="1">IFERROR(__xludf.DUMMYFUNCTION("""COMPUTED_VALUE"""),104)</f>
        <v>104</v>
      </c>
      <c r="Q289" s="8">
        <f ca="1">IFERROR(__xludf.DUMMYFUNCTION("""COMPUTED_VALUE"""),8)</f>
        <v>8</v>
      </c>
      <c r="R289" s="8">
        <f ca="1">IFERROR(__xludf.DUMMYFUNCTION("""COMPUTED_VALUE"""),832)</f>
        <v>832</v>
      </c>
      <c r="S289" s="8">
        <f ca="1">IFERROR(__xludf.DUMMYFUNCTION("""COMPUTED_VALUE"""),12.8)</f>
        <v>12.8</v>
      </c>
      <c r="T289" s="8">
        <f ca="1">IFERROR(__xludf.DUMMYFUNCTION("""COMPUTED_VALUE"""),844.8)</f>
        <v>844.8</v>
      </c>
      <c r="U289" s="8"/>
      <c r="V289" s="8"/>
      <c r="W289" s="8"/>
      <c r="X289" s="8"/>
      <c r="Y289" s="8"/>
      <c r="Z289" s="72" t="s">
        <v>43</v>
      </c>
      <c r="AA289" s="37" t="str">
        <f ca="1">IFERROR(__xludf.DUMMYFUNCTION("""COMPUTED_VALUE"""),"27/10/2024")</f>
        <v>27/10/2024</v>
      </c>
      <c r="AB289" s="60" t="s">
        <v>51</v>
      </c>
    </row>
    <row r="290" spans="1:28" ht="14.55" customHeight="1" x14ac:dyDescent="0.25">
      <c r="A290" s="8">
        <v>70</v>
      </c>
      <c r="B290" s="8"/>
      <c r="C290" s="8"/>
      <c r="D290" s="8" t="str">
        <f ca="1">IFERROR(__xludf.DUMMYFUNCTION("""COMPUTED_VALUE"""),"15/08/2024")</f>
        <v>15/08/2024</v>
      </c>
      <c r="E290" s="16" t="str">
        <f ca="1">IFERROR(__xludf.DUMMYFUNCTION("""COMPUTED_VALUE"""),"Player")</f>
        <v>Player</v>
      </c>
      <c r="F290" s="8" t="str">
        <f ca="1">IFERROR(__xludf.DUMMYFUNCTION("""COMPUTED_VALUE"""),"Nihal Sarin")</f>
        <v>Nihal Sarin</v>
      </c>
      <c r="G290" s="16" t="str">
        <f ca="1">IFERROR(__xludf.DUMMYFUNCTION("""COMPUTED_VALUE"""),"IND")</f>
        <v>IND</v>
      </c>
      <c r="H290" s="8"/>
      <c r="I290" s="8">
        <f ca="1">IFERROR(__xludf.DUMMYFUNCTION("""COMPUTED_VALUE"""),100)</f>
        <v>100</v>
      </c>
      <c r="J290" s="8"/>
      <c r="K290" s="8"/>
      <c r="L290" s="8" t="str">
        <f ca="1">IFERROR(__xludf.DUMMYFUNCTION("""COMPUTED_VALUE"""),"Turkish Airlines")</f>
        <v>Turkish Airlines</v>
      </c>
      <c r="M290" s="16" t="str">
        <f ca="1">IFERROR(__xludf.DUMMYFUNCTION("""COMPUTED_VALUE"""),"TUR")</f>
        <v>TUR</v>
      </c>
      <c r="N290" s="16" t="str">
        <f ca="1">IFERROR(__xludf.DUMMYFUNCTION("""COMPUTED_VALUE"""),"Terme")</f>
        <v>Terme</v>
      </c>
      <c r="O290" s="8"/>
      <c r="P290" s="8">
        <f ca="1">IFERROR(__xludf.DUMMYFUNCTION("""COMPUTED_VALUE"""),104)</f>
        <v>104</v>
      </c>
      <c r="Q290" s="8">
        <f ca="1">IFERROR(__xludf.DUMMYFUNCTION("""COMPUTED_VALUE"""),8)</f>
        <v>8</v>
      </c>
      <c r="R290" s="8">
        <f ca="1">IFERROR(__xludf.DUMMYFUNCTION("""COMPUTED_VALUE"""),832)</f>
        <v>832</v>
      </c>
      <c r="S290" s="8">
        <f ca="1">IFERROR(__xludf.DUMMYFUNCTION("""COMPUTED_VALUE"""),12.8)</f>
        <v>12.8</v>
      </c>
      <c r="T290" s="8">
        <f ca="1">IFERROR(__xludf.DUMMYFUNCTION("""COMPUTED_VALUE"""),844.8)</f>
        <v>844.8</v>
      </c>
      <c r="U290" s="8"/>
      <c r="V290" s="8"/>
      <c r="W290" s="8"/>
      <c r="X290" s="8"/>
      <c r="Y290" s="8"/>
      <c r="Z290" s="72" t="s">
        <v>43</v>
      </c>
      <c r="AA290" s="37" t="str">
        <f ca="1">IFERROR(__xludf.DUMMYFUNCTION("""COMPUTED_VALUE"""),"27/10/2024")</f>
        <v>27/10/2024</v>
      </c>
      <c r="AB290" s="60" t="s">
        <v>51</v>
      </c>
    </row>
    <row r="291" spans="1:28" ht="14.55" customHeight="1" x14ac:dyDescent="0.3">
      <c r="A291" s="8">
        <v>71</v>
      </c>
      <c r="B291" s="8"/>
      <c r="C291" s="8"/>
      <c r="D291" s="8"/>
      <c r="E291" s="16" t="str">
        <f ca="1">IFERROR(__xludf.DUMMYFUNCTION("""COMPUTED_VALUE"""),"Player")</f>
        <v>Player</v>
      </c>
      <c r="F291" s="8" t="str">
        <f ca="1">IFERROR(__xludf.DUMMYFUNCTION("""COMPUTED_VALUE"""),"Paehtz, Elisabeth")</f>
        <v>Paehtz, Elisabeth</v>
      </c>
      <c r="G291" s="8" t="str">
        <f ca="1">IFERROR(__xludf.DUMMYFUNCTION("""COMPUTED_VALUE"""),"GER")</f>
        <v>GER</v>
      </c>
      <c r="H291" s="8"/>
      <c r="I291" s="8">
        <f ca="1">IFERROR(__xludf.DUMMYFUNCTION("""COMPUTED_VALUE"""),100)</f>
        <v>100</v>
      </c>
      <c r="J291" s="8"/>
      <c r="K291" s="8"/>
      <c r="L291" s="8" t="s">
        <v>2</v>
      </c>
      <c r="M291" s="8" t="str">
        <f ca="1">IFERROR(__xludf.DUMMYFUNCTION("""COMPUTED_VALUE"""),"MNC")</f>
        <v>MNC</v>
      </c>
      <c r="N291" s="16" t="str">
        <f ca="1">IFERROR(__xludf.DUMMYFUNCTION("""COMPUTED_VALUE"""),"Zepter")</f>
        <v>Zepter</v>
      </c>
      <c r="O291" s="8" t="str">
        <f ca="1">IFERROR(__xludf.DUMMYFUNCTION("""COMPUTED_VALUE"""),"Single")</f>
        <v>Single</v>
      </c>
      <c r="P291" s="8"/>
      <c r="Q291" s="8">
        <f ca="1">IFERROR(__xludf.DUMMYFUNCTION("""COMPUTED_VALUE"""),8)</f>
        <v>8</v>
      </c>
      <c r="R291" s="8">
        <f ca="1">IFERROR(__xludf.DUMMYFUNCTION("""COMPUTED_VALUE"""),832)</f>
        <v>832</v>
      </c>
      <c r="S291" s="8">
        <f ca="1">IFERROR(__xludf.DUMMYFUNCTION("""COMPUTED_VALUE"""),12.8)</f>
        <v>12.8</v>
      </c>
      <c r="T291" s="8">
        <f ca="1">IFERROR(__xludf.DUMMYFUNCTION("""COMPUTED_VALUE"""),844.8)</f>
        <v>844.8</v>
      </c>
      <c r="U291" s="8"/>
      <c r="V291" s="8"/>
      <c r="W291" s="8" t="str">
        <f ca="1">IFERROR(__xludf.DUMMYFUNCTION("""COMPUTED_VALUE"""),"YES")</f>
        <v>YES</v>
      </c>
      <c r="X291" s="8"/>
      <c r="Y291" s="8"/>
      <c r="Z291" s="37" t="s">
        <v>24</v>
      </c>
      <c r="AA291" s="37" t="str">
        <f ca="1">IFERROR(__xludf.DUMMYFUNCTION("""COMPUTED_VALUE"""),"27/10/2024")</f>
        <v>27/10/2024</v>
      </c>
      <c r="AB291" s="64">
        <v>0.63194444444444442</v>
      </c>
    </row>
    <row r="292" spans="1:28" ht="23.4" customHeight="1" x14ac:dyDescent="0.4">
      <c r="A292" s="48" t="s">
        <v>63</v>
      </c>
      <c r="B292" s="49"/>
      <c r="C292" s="49"/>
      <c r="D292" s="49"/>
      <c r="E292" s="50"/>
      <c r="F292" s="49"/>
      <c r="G292" s="50"/>
      <c r="H292" s="49"/>
      <c r="I292" s="49"/>
      <c r="J292" s="49"/>
      <c r="K292" s="49"/>
      <c r="L292" s="49"/>
      <c r="M292" s="50"/>
      <c r="N292" s="50"/>
      <c r="O292" s="49"/>
      <c r="P292" s="49"/>
      <c r="Q292" s="49"/>
      <c r="R292" s="49"/>
      <c r="S292" s="49"/>
      <c r="T292" s="49"/>
      <c r="U292" s="49"/>
      <c r="V292" s="49"/>
      <c r="W292" s="49"/>
      <c r="X292" s="49"/>
      <c r="Y292" s="49"/>
      <c r="Z292" s="69"/>
      <c r="AA292" s="53"/>
      <c r="AB292" s="62"/>
    </row>
    <row r="293" spans="1:28" ht="14.55" customHeight="1" x14ac:dyDescent="0.3">
      <c r="A293" s="8">
        <v>1</v>
      </c>
      <c r="B293" s="8"/>
      <c r="C293" s="8"/>
      <c r="D293" s="8" t="str">
        <f ca="1">IFERROR(__xludf.DUMMYFUNCTION("""COMPUTED_VALUE"""),"14/08/2024")</f>
        <v>14/08/2024</v>
      </c>
      <c r="E293" s="16" t="str">
        <f ca="1">IFERROR(__xludf.DUMMYFUNCTION("""COMPUTED_VALUE"""),"Player")</f>
        <v>Player</v>
      </c>
      <c r="F293" s="8" t="str">
        <f ca="1">IFERROR(__xludf.DUMMYFUNCTION("""COMPUTED_VALUE"""),"O`neill, Sam")</f>
        <v>O`neill, Sam</v>
      </c>
      <c r="G293" s="16" t="str">
        <f ca="1">IFERROR(__xludf.DUMMYFUNCTION("""COMPUTED_VALUE"""),"IRL")</f>
        <v>IRL</v>
      </c>
      <c r="H293" s="8"/>
      <c r="I293" s="8">
        <f ca="1">IFERROR(__xludf.DUMMYFUNCTION("""COMPUTED_VALUE"""),100)</f>
        <v>100</v>
      </c>
      <c r="J293" s="8"/>
      <c r="K293" s="8"/>
      <c r="L293" s="8" t="str">
        <f ca="1">IFERROR(__xludf.DUMMYFUNCTION("""COMPUTED_VALUE"""),"UCD (University College Dublin)")</f>
        <v>UCD (University College Dublin)</v>
      </c>
      <c r="M293" s="16" t="str">
        <f ca="1">IFERROR(__xludf.DUMMYFUNCTION("""COMPUTED_VALUE"""),"IRL")</f>
        <v>IRL</v>
      </c>
      <c r="N293" s="16" t="str">
        <f ca="1">IFERROR(__xludf.DUMMYFUNCTION("""COMPUTED_VALUE"""),"Tonanti")</f>
        <v>Tonanti</v>
      </c>
      <c r="O293" s="8" t="str">
        <f ca="1">IFERROR(__xludf.DUMMYFUNCTION("""COMPUTED_VALUE"""),"Jonathon Peoples")</f>
        <v>Jonathon Peoples</v>
      </c>
      <c r="P293" s="8">
        <f ca="1">IFERROR(__xludf.DUMMYFUNCTION("""COMPUTED_VALUE"""),85)</f>
        <v>85</v>
      </c>
      <c r="Q293" s="8">
        <f ca="1">IFERROR(__xludf.DUMMYFUNCTION("""COMPUTED_VALUE"""),8)</f>
        <v>8</v>
      </c>
      <c r="R293" s="8">
        <f ca="1">IFERROR(__xludf.DUMMYFUNCTION("""COMPUTED_VALUE"""),680)</f>
        <v>680</v>
      </c>
      <c r="S293" s="8">
        <f ca="1">IFERROR(__xludf.DUMMYFUNCTION("""COMPUTED_VALUE"""),12.8)</f>
        <v>12.8</v>
      </c>
      <c r="T293" s="8">
        <f ca="1">IFERROR(__xludf.DUMMYFUNCTION("""COMPUTED_VALUE"""),692.8)</f>
        <v>692.8</v>
      </c>
      <c r="U293" s="8"/>
      <c r="V293" s="8"/>
      <c r="W293" s="8"/>
      <c r="X293" s="8"/>
      <c r="Y293" s="8"/>
      <c r="Z293" s="37" t="str">
        <f ca="1">IFERROR(__xludf.DUMMYFUNCTION("""COMPUTED_VALUE"""),"W64031")</f>
        <v>W64031</v>
      </c>
      <c r="AA293" s="37" t="str">
        <f ca="1">IFERROR(__xludf.DUMMYFUNCTION("""COMPUTED_VALUE"""),"27/10/2024")</f>
        <v>27/10/2024</v>
      </c>
      <c r="AB293" s="59">
        <f ca="1">IFERROR(__xludf.DUMMYFUNCTION("""COMPUTED_VALUE"""),0.677083333333333)</f>
        <v>0.67708333333333304</v>
      </c>
    </row>
    <row r="294" spans="1:28" ht="14.55" customHeight="1" x14ac:dyDescent="0.3">
      <c r="A294" s="8">
        <v>2</v>
      </c>
      <c r="B294" s="8"/>
      <c r="C294" s="8"/>
      <c r="D294" s="8"/>
      <c r="E294" s="16" t="str">
        <f ca="1">IFERROR(__xludf.DUMMYFUNCTION("""COMPUTED_VALUE"""),"Player")</f>
        <v>Player</v>
      </c>
      <c r="F294" s="8" t="str">
        <f ca="1">IFERROR(__xludf.DUMMYFUNCTION("""COMPUTED_VALUE"""),"Skripchenko, Almira")</f>
        <v>Skripchenko, Almira</v>
      </c>
      <c r="G294" s="8" t="str">
        <f ca="1">IFERROR(__xludf.DUMMYFUNCTION("""COMPUTED_VALUE"""),"FRA")</f>
        <v>FRA</v>
      </c>
      <c r="H294" s="8"/>
      <c r="I294" s="8">
        <f ca="1">IFERROR(__xludf.DUMMYFUNCTION("""COMPUTED_VALUE"""),100)</f>
        <v>100</v>
      </c>
      <c r="J294" s="8"/>
      <c r="K294" s="8"/>
      <c r="L294" s="8" t="s">
        <v>2</v>
      </c>
      <c r="M294" s="8" t="str">
        <f ca="1">IFERROR(__xludf.DUMMYFUNCTION("""COMPUTED_VALUE"""),"MNC")</f>
        <v>MNC</v>
      </c>
      <c r="N294" s="16" t="str">
        <f ca="1">IFERROR(__xludf.DUMMYFUNCTION("""COMPUTED_VALUE"""),"Zepter")</f>
        <v>Zepter</v>
      </c>
      <c r="O294" s="8" t="str">
        <f ca="1">IFERROR(__xludf.DUMMYFUNCTION("""COMPUTED_VALUE"""),"Single")</f>
        <v>Single</v>
      </c>
      <c r="P294" s="8"/>
      <c r="Q294" s="8">
        <f ca="1">IFERROR(__xludf.DUMMYFUNCTION("""COMPUTED_VALUE"""),9)</f>
        <v>9</v>
      </c>
      <c r="R294" s="8">
        <f ca="1">IFERROR(__xludf.DUMMYFUNCTION("""COMPUTED_VALUE"""),936)</f>
        <v>936</v>
      </c>
      <c r="S294" s="8">
        <f ca="1">IFERROR(__xludf.DUMMYFUNCTION("""COMPUTED_VALUE"""),14.4)</f>
        <v>14.4</v>
      </c>
      <c r="T294" s="8">
        <f ca="1">IFERROR(__xludf.DUMMYFUNCTION("""COMPUTED_VALUE"""),950.4)</f>
        <v>950.4</v>
      </c>
      <c r="U294" s="8"/>
      <c r="V294" s="8"/>
      <c r="W294" s="8" t="str">
        <f ca="1">IFERROR(__xludf.DUMMYFUNCTION("""COMPUTED_VALUE"""),"YES")</f>
        <v>YES</v>
      </c>
      <c r="X294" s="8"/>
      <c r="Y294" s="8"/>
      <c r="Z294" s="37"/>
      <c r="AA294" s="37" t="str">
        <f ca="1">IFERROR(__xludf.DUMMYFUNCTION("""COMPUTED_VALUE"""),"27/10/2024")</f>
        <v>27/10/2024</v>
      </c>
      <c r="AB294" s="64">
        <v>0.67708333333333337</v>
      </c>
    </row>
    <row r="295" spans="1:28" ht="14.55" customHeight="1" x14ac:dyDescent="0.3">
      <c r="A295" s="8">
        <v>3</v>
      </c>
      <c r="B295" s="8"/>
      <c r="C295" s="8"/>
      <c r="D295" s="8" t="str">
        <f ca="1">IFERROR(__xludf.DUMMYFUNCTION("""COMPUTED_VALUE"""),"23/07/2024")</f>
        <v>23/07/2024</v>
      </c>
      <c r="E295" s="16" t="str">
        <f ca="1">IFERROR(__xludf.DUMMYFUNCTION("""COMPUTED_VALUE"""),"Player")</f>
        <v>Player</v>
      </c>
      <c r="F295" s="8" t="str">
        <f ca="1">IFERROR(__xludf.DUMMYFUNCTION("""COMPUTED_VALUE"""),"Cappelletto, Joshuaede")</f>
        <v>Cappelletto, Joshuaede</v>
      </c>
      <c r="G295" s="16" t="str">
        <f ca="1">IFERROR(__xludf.DUMMYFUNCTION("""COMPUTED_VALUE"""),"ITA")</f>
        <v>ITA</v>
      </c>
      <c r="H295" s="8"/>
      <c r="I295" s="8">
        <f ca="1">IFERROR(__xludf.DUMMYFUNCTION("""COMPUTED_VALUE"""),100)</f>
        <v>100</v>
      </c>
      <c r="J295" s="8"/>
      <c r="K295" s="8"/>
      <c r="L295" s="8" t="str">
        <f ca="1">IFERROR(__xludf.DUMMYFUNCTION("""COMPUTED_VALUE"""),"ASD Pedone Isolano")</f>
        <v>ASD Pedone Isolano</v>
      </c>
      <c r="M295" s="16" t="str">
        <f ca="1">IFERROR(__xludf.DUMMYFUNCTION("""COMPUTED_VALUE"""),"ITA")</f>
        <v>ITA</v>
      </c>
      <c r="N295" s="16" t="str">
        <f ca="1">IFERROR(__xludf.DUMMYFUNCTION("""COMPUTED_VALUE"""),"Zepter")</f>
        <v>Zepter</v>
      </c>
      <c r="O295" s="8" t="str">
        <f ca="1">IFERROR(__xludf.DUMMYFUNCTION("""COMPUTED_VALUE"""),"Lo Presti Giulio")</f>
        <v>Lo Presti Giulio</v>
      </c>
      <c r="P295" s="8">
        <f ca="1">IFERROR(__xludf.DUMMYFUNCTION("""COMPUTED_VALUE"""),82)</f>
        <v>82</v>
      </c>
      <c r="Q295" s="8">
        <f ca="1">IFERROR(__xludf.DUMMYFUNCTION("""COMPUTED_VALUE"""),8)</f>
        <v>8</v>
      </c>
      <c r="R295" s="8">
        <f ca="1">IFERROR(__xludf.DUMMYFUNCTION("""COMPUTED_VALUE"""),656)</f>
        <v>656</v>
      </c>
      <c r="S295" s="8">
        <f ca="1">IFERROR(__xludf.DUMMYFUNCTION("""COMPUTED_VALUE"""),12.8)</f>
        <v>12.8</v>
      </c>
      <c r="T295" s="8">
        <f ca="1">IFERROR(__xludf.DUMMYFUNCTION("""COMPUTED_VALUE"""),668.8)</f>
        <v>668.8</v>
      </c>
      <c r="U295" s="8"/>
      <c r="V295" s="8"/>
      <c r="W295" s="8"/>
      <c r="X295" s="8"/>
      <c r="Y295" s="8"/>
      <c r="Z295" s="37" t="str">
        <f ca="1">IFERROR(__xludf.DUMMYFUNCTION("""COMPUTED_VALUE"""),"JU418")</f>
        <v>JU418</v>
      </c>
      <c r="AA295" s="37" t="str">
        <f ca="1">IFERROR(__xludf.DUMMYFUNCTION("""COMPUTED_VALUE"""),"27/10/2024")</f>
        <v>27/10/2024</v>
      </c>
      <c r="AB295" s="64">
        <f ca="1">IFERROR(__xludf.DUMMYFUNCTION("""COMPUTED_VALUE"""),0.708333333333333)</f>
        <v>0.70833333333333304</v>
      </c>
    </row>
    <row r="296" spans="1:28" ht="14.55" customHeight="1" x14ac:dyDescent="0.3">
      <c r="A296" s="8">
        <v>4</v>
      </c>
      <c r="B296" s="8"/>
      <c r="C296" s="8"/>
      <c r="D296" s="8" t="str">
        <f ca="1">IFERROR(__xludf.DUMMYFUNCTION("""COMPUTED_VALUE"""),"23/07/2024")</f>
        <v>23/07/2024</v>
      </c>
      <c r="E296" s="16" t="str">
        <f ca="1">IFERROR(__xludf.DUMMYFUNCTION("""COMPUTED_VALUE"""),"Player")</f>
        <v>Player</v>
      </c>
      <c r="F296" s="8" t="str">
        <f ca="1">IFERROR(__xludf.DUMMYFUNCTION("""COMPUTED_VALUE"""),"Lo Pinto, Giovanni")</f>
        <v>Lo Pinto, Giovanni</v>
      </c>
      <c r="G296" s="16" t="str">
        <f ca="1">IFERROR(__xludf.DUMMYFUNCTION("""COMPUTED_VALUE"""),"ITA")</f>
        <v>ITA</v>
      </c>
      <c r="H296" s="8"/>
      <c r="I296" s="8">
        <f ca="1">IFERROR(__xludf.DUMMYFUNCTION("""COMPUTED_VALUE"""),100)</f>
        <v>100</v>
      </c>
      <c r="J296" s="8"/>
      <c r="K296" s="8"/>
      <c r="L296" s="8" t="str">
        <f ca="1">IFERROR(__xludf.DUMMYFUNCTION("""COMPUTED_VALUE"""),"ASD Pedone Isolano")</f>
        <v>ASD Pedone Isolano</v>
      </c>
      <c r="M296" s="16" t="str">
        <f ca="1">IFERROR(__xludf.DUMMYFUNCTION("""COMPUTED_VALUE"""),"ITA")</f>
        <v>ITA</v>
      </c>
      <c r="N296" s="16" t="str">
        <f ca="1">IFERROR(__xludf.DUMMYFUNCTION("""COMPUTED_VALUE"""),"Zepter")</f>
        <v>Zepter</v>
      </c>
      <c r="O296" s="8"/>
      <c r="P296" s="8">
        <f ca="1">IFERROR(__xludf.DUMMYFUNCTION("""COMPUTED_VALUE"""),104)</f>
        <v>104</v>
      </c>
      <c r="Q296" s="8">
        <f ca="1">IFERROR(__xludf.DUMMYFUNCTION("""COMPUTED_VALUE"""),8)</f>
        <v>8</v>
      </c>
      <c r="R296" s="8">
        <f ca="1">IFERROR(__xludf.DUMMYFUNCTION("""COMPUTED_VALUE"""),832)</f>
        <v>832</v>
      </c>
      <c r="S296" s="8">
        <f ca="1">IFERROR(__xludf.DUMMYFUNCTION("""COMPUTED_VALUE"""),12.8)</f>
        <v>12.8</v>
      </c>
      <c r="T296" s="8">
        <f ca="1">IFERROR(__xludf.DUMMYFUNCTION("""COMPUTED_VALUE"""),844.8)</f>
        <v>844.8</v>
      </c>
      <c r="U296" s="8"/>
      <c r="V296" s="8"/>
      <c r="W296" s="8"/>
      <c r="X296" s="8"/>
      <c r="Y296" s="8"/>
      <c r="Z296" s="37" t="str">
        <f ca="1">IFERROR(__xludf.DUMMYFUNCTION("""COMPUTED_VALUE"""),"JU418")</f>
        <v>JU418</v>
      </c>
      <c r="AA296" s="37" t="str">
        <f ca="1">IFERROR(__xludf.DUMMYFUNCTION("""COMPUTED_VALUE"""),"27/10/2024")</f>
        <v>27/10/2024</v>
      </c>
      <c r="AB296" s="64">
        <f ca="1">IFERROR(__xludf.DUMMYFUNCTION("""COMPUTED_VALUE"""),0.708333333333333)</f>
        <v>0.70833333333333304</v>
      </c>
    </row>
    <row r="297" spans="1:28" ht="14.55" customHeight="1" x14ac:dyDescent="0.3">
      <c r="A297" s="8">
        <v>5</v>
      </c>
      <c r="B297" s="8"/>
      <c r="C297" s="8"/>
      <c r="D297" s="8" t="str">
        <f ca="1">IFERROR(__xludf.DUMMYFUNCTION("""COMPUTED_VALUE"""),"29/07/2024")</f>
        <v>29/07/2024</v>
      </c>
      <c r="E297" s="16" t="str">
        <f ca="1">IFERROR(__xludf.DUMMYFUNCTION("""COMPUTED_VALUE"""),"Player")</f>
        <v>Player</v>
      </c>
      <c r="F297" s="8" t="str">
        <f ca="1">IFERROR(__xludf.DUMMYFUNCTION("""COMPUTED_VALUE"""),"Postny, Evgeny")</f>
        <v>Postny, Evgeny</v>
      </c>
      <c r="G297" s="16" t="str">
        <f ca="1">IFERROR(__xludf.DUMMYFUNCTION("""COMPUTED_VALUE"""),"ISR")</f>
        <v>ISR</v>
      </c>
      <c r="H297" s="8"/>
      <c r="I297" s="8">
        <f ca="1">IFERROR(__xludf.DUMMYFUNCTION("""COMPUTED_VALUE"""),100)</f>
        <v>100</v>
      </c>
      <c r="J297" s="8"/>
      <c r="K297" s="8"/>
      <c r="L297" s="8" t="str">
        <f ca="1">IFERROR(__xludf.DUMMYFUNCTION("""COMPUTED_VALUE"""),"Beer Sheva Chess Club")</f>
        <v>Beer Sheva Chess Club</v>
      </c>
      <c r="M297" s="16" t="str">
        <f ca="1">IFERROR(__xludf.DUMMYFUNCTION("""COMPUTED_VALUE"""),"ISR")</f>
        <v>ISR</v>
      </c>
      <c r="N297" s="16" t="str">
        <f ca="1">IFERROR(__xludf.DUMMYFUNCTION("""COMPUTED_VALUE"""),"Fontana")</f>
        <v>Fontana</v>
      </c>
      <c r="O297" s="8"/>
      <c r="P297" s="8">
        <f ca="1">IFERROR(__xludf.DUMMYFUNCTION("""COMPUTED_VALUE"""),104)</f>
        <v>104</v>
      </c>
      <c r="Q297" s="8">
        <f ca="1">IFERROR(__xludf.DUMMYFUNCTION("""COMPUTED_VALUE"""),8)</f>
        <v>8</v>
      </c>
      <c r="R297" s="8">
        <f ca="1">IFERROR(__xludf.DUMMYFUNCTION("""COMPUTED_VALUE"""),832)</f>
        <v>832</v>
      </c>
      <c r="S297" s="8">
        <f ca="1">IFERROR(__xludf.DUMMYFUNCTION("""COMPUTED_VALUE"""),12.8)</f>
        <v>12.8</v>
      </c>
      <c r="T297" s="8">
        <f ca="1">IFERROR(__xludf.DUMMYFUNCTION("""COMPUTED_VALUE"""),844.8)</f>
        <v>844.8</v>
      </c>
      <c r="U297" s="8"/>
      <c r="V297" s="8"/>
      <c r="W297" s="8" t="str">
        <f ca="1">IFERROR(__xludf.DUMMYFUNCTION("""COMPUTED_VALUE"""),"YES")</f>
        <v>YES</v>
      </c>
      <c r="X297" s="8"/>
      <c r="Y297" s="8"/>
      <c r="Z297" s="37" t="str">
        <f ca="1">IFERROR(__xludf.DUMMYFUNCTION("""COMPUTED_VALUE"""),"JU 604")</f>
        <v>JU 604</v>
      </c>
      <c r="AA297" s="37" t="str">
        <f ca="1">IFERROR(__xludf.DUMMYFUNCTION("""COMPUTED_VALUE"""),"27/10/2024")</f>
        <v>27/10/2024</v>
      </c>
      <c r="AB297" s="64">
        <f ca="1">IFERROR(__xludf.DUMMYFUNCTION("""COMPUTED_VALUE"""),0.708333333333333)</f>
        <v>0.70833333333333304</v>
      </c>
    </row>
    <row r="298" spans="1:28" ht="14.55" customHeight="1" x14ac:dyDescent="0.3">
      <c r="A298" s="8">
        <v>6</v>
      </c>
      <c r="B298" s="8"/>
      <c r="C298" s="8"/>
      <c r="D298" s="8" t="str">
        <f ca="1">IFERROR(__xludf.DUMMYFUNCTION("""COMPUTED_VALUE"""),"14/08/2024")</f>
        <v>14/08/2024</v>
      </c>
      <c r="E298" s="16" t="str">
        <f ca="1">IFERROR(__xludf.DUMMYFUNCTION("""COMPUTED_VALUE"""),"Player")</f>
        <v>Player</v>
      </c>
      <c r="F298" s="8" t="str">
        <f ca="1">IFERROR(__xludf.DUMMYFUNCTION("""COMPUTED_VALUE"""),"Lopez Mulet, Inigo")</f>
        <v>Lopez Mulet, Inigo</v>
      </c>
      <c r="G298" s="16" t="str">
        <f ca="1">IFERROR(__xludf.DUMMYFUNCTION("""COMPUTED_VALUE"""),"ESP")</f>
        <v>ESP</v>
      </c>
      <c r="H298" s="8"/>
      <c r="I298" s="8">
        <f ca="1">IFERROR(__xludf.DUMMYFUNCTION("""COMPUTED_VALUE"""),100)</f>
        <v>100</v>
      </c>
      <c r="J298" s="8"/>
      <c r="K298" s="8"/>
      <c r="L298" s="8" t="str">
        <f ca="1">IFERROR(__xludf.DUMMYFUNCTION("""COMPUTED_VALUE"""),"C.A. Silla Integrant Col-lectius")</f>
        <v>C.A. Silla Integrant Col-lectius</v>
      </c>
      <c r="M298" s="16" t="str">
        <f ca="1">IFERROR(__xludf.DUMMYFUNCTION("""COMPUTED_VALUE"""),"ESP")</f>
        <v>ESP</v>
      </c>
      <c r="N298" s="16" t="str">
        <f ca="1">IFERROR(__xludf.DUMMYFUNCTION("""COMPUTED_VALUE"""),"Fontana")</f>
        <v>Fontana</v>
      </c>
      <c r="O298" s="8" t="str">
        <f ca="1">IFERROR(__xludf.DUMMYFUNCTION("""COMPUTED_VALUE"""),"Andrés")</f>
        <v>Andrés</v>
      </c>
      <c r="P298" s="8">
        <f ca="1">IFERROR(__xludf.DUMMYFUNCTION("""COMPUTED_VALUE"""),84)</f>
        <v>84</v>
      </c>
      <c r="Q298" s="8">
        <f ca="1">IFERROR(__xludf.DUMMYFUNCTION("""COMPUTED_VALUE"""),8)</f>
        <v>8</v>
      </c>
      <c r="R298" s="8">
        <f ca="1">IFERROR(__xludf.DUMMYFUNCTION("""COMPUTED_VALUE"""),672)</f>
        <v>672</v>
      </c>
      <c r="S298" s="8">
        <f ca="1">IFERROR(__xludf.DUMMYFUNCTION("""COMPUTED_VALUE"""),12.8)</f>
        <v>12.8</v>
      </c>
      <c r="T298" s="8">
        <f ca="1">IFERROR(__xludf.DUMMYFUNCTION("""COMPUTED_VALUE"""),684.8)</f>
        <v>684.8</v>
      </c>
      <c r="U298" s="8"/>
      <c r="V298" s="8"/>
      <c r="W298" s="8"/>
      <c r="X298" s="8"/>
      <c r="Y298" s="8"/>
      <c r="Z298" s="37" t="str">
        <f ca="1">IFERROR(__xludf.DUMMYFUNCTION("""COMPUTED_VALUE"""),"JU594")</f>
        <v>JU594</v>
      </c>
      <c r="AA298" s="37" t="str">
        <f ca="1">IFERROR(__xludf.DUMMYFUNCTION("""COMPUTED_VALUE"""),"27/10/2024")</f>
        <v>27/10/2024</v>
      </c>
      <c r="AB298" s="64">
        <f ca="1">IFERROR(__xludf.DUMMYFUNCTION("""COMPUTED_VALUE"""),0.708333333333333)</f>
        <v>0.70833333333333304</v>
      </c>
    </row>
    <row r="299" spans="1:28" ht="14.55" customHeight="1" x14ac:dyDescent="0.3">
      <c r="A299" s="8">
        <v>7</v>
      </c>
      <c r="B299" s="8"/>
      <c r="C299" s="8"/>
      <c r="D299" s="8" t="str">
        <f ca="1">IFERROR(__xludf.DUMMYFUNCTION("""COMPUTED_VALUE"""),"14/08/2024")</f>
        <v>14/08/2024</v>
      </c>
      <c r="E299" s="16" t="str">
        <f ca="1">IFERROR(__xludf.DUMMYFUNCTION("""COMPUTED_VALUE"""),"Player")</f>
        <v>Player</v>
      </c>
      <c r="F299" s="8" t="str">
        <f ca="1">IFERROR(__xludf.DUMMYFUNCTION("""COMPUTED_VALUE"""),"Domingo Nunez, Ruben")</f>
        <v>Domingo Nunez, Ruben</v>
      </c>
      <c r="G299" s="16" t="str">
        <f ca="1">IFERROR(__xludf.DUMMYFUNCTION("""COMPUTED_VALUE"""),"ESP")</f>
        <v>ESP</v>
      </c>
      <c r="H299" s="8"/>
      <c r="I299" s="8">
        <f ca="1">IFERROR(__xludf.DUMMYFUNCTION("""COMPUTED_VALUE"""),100)</f>
        <v>100</v>
      </c>
      <c r="J299" s="8"/>
      <c r="K299" s="8"/>
      <c r="L299" s="8" t="str">
        <f ca="1">IFERROR(__xludf.DUMMYFUNCTION("""COMPUTED_VALUE"""),"C.A. Silla Integrant Col-lectius")</f>
        <v>C.A. Silla Integrant Col-lectius</v>
      </c>
      <c r="M299" s="16" t="str">
        <f ca="1">IFERROR(__xludf.DUMMYFUNCTION("""COMPUTED_VALUE"""),"ESP")</f>
        <v>ESP</v>
      </c>
      <c r="N299" s="16" t="str">
        <f ca="1">IFERROR(__xludf.DUMMYFUNCTION("""COMPUTED_VALUE"""),"Fontana")</f>
        <v>Fontana</v>
      </c>
      <c r="O299" s="8" t="str">
        <f ca="1">IFERROR(__xludf.DUMMYFUNCTION("""COMPUTED_VALUE"""),"José")</f>
        <v>José</v>
      </c>
      <c r="P299" s="8">
        <f ca="1">IFERROR(__xludf.DUMMYFUNCTION("""COMPUTED_VALUE"""),84)</f>
        <v>84</v>
      </c>
      <c r="Q299" s="8">
        <f ca="1">IFERROR(__xludf.DUMMYFUNCTION("""COMPUTED_VALUE"""),8)</f>
        <v>8</v>
      </c>
      <c r="R299" s="8">
        <f ca="1">IFERROR(__xludf.DUMMYFUNCTION("""COMPUTED_VALUE"""),672)</f>
        <v>672</v>
      </c>
      <c r="S299" s="8">
        <f ca="1">IFERROR(__xludf.DUMMYFUNCTION("""COMPUTED_VALUE"""),12.8)</f>
        <v>12.8</v>
      </c>
      <c r="T299" s="8">
        <f ca="1">IFERROR(__xludf.DUMMYFUNCTION("""COMPUTED_VALUE"""),684.8)</f>
        <v>684.8</v>
      </c>
      <c r="U299" s="8"/>
      <c r="V299" s="8"/>
      <c r="W299" s="8"/>
      <c r="X299" s="8"/>
      <c r="Y299" s="8"/>
      <c r="Z299" s="37" t="str">
        <f ca="1">IFERROR(__xludf.DUMMYFUNCTION("""COMPUTED_VALUE"""),"JU594")</f>
        <v>JU594</v>
      </c>
      <c r="AA299" s="37" t="str">
        <f ca="1">IFERROR(__xludf.DUMMYFUNCTION("""COMPUTED_VALUE"""),"27/10/2024")</f>
        <v>27/10/2024</v>
      </c>
      <c r="AB299" s="64">
        <f ca="1">IFERROR(__xludf.DUMMYFUNCTION("""COMPUTED_VALUE"""),0.708333333333333)</f>
        <v>0.70833333333333304</v>
      </c>
    </row>
    <row r="300" spans="1:28" ht="14.55" customHeight="1" x14ac:dyDescent="0.3">
      <c r="A300" s="8">
        <v>8</v>
      </c>
      <c r="B300" s="8"/>
      <c r="C300" s="8"/>
      <c r="D300" s="8" t="str">
        <f ca="1">IFERROR(__xludf.DUMMYFUNCTION("""COMPUTED_VALUE"""),"14/08/2024")</f>
        <v>14/08/2024</v>
      </c>
      <c r="E300" s="16" t="str">
        <f ca="1">IFERROR(__xludf.DUMMYFUNCTION("""COMPUTED_VALUE"""),"Player")</f>
        <v>Player</v>
      </c>
      <c r="F300" s="8" t="str">
        <f ca="1">IFERROR(__xludf.DUMMYFUNCTION("""COMPUTED_VALUE"""),"Luque Saiz, Andres")</f>
        <v>Luque Saiz, Andres</v>
      </c>
      <c r="G300" s="16" t="str">
        <f ca="1">IFERROR(__xludf.DUMMYFUNCTION("""COMPUTED_VALUE"""),"ESP")</f>
        <v>ESP</v>
      </c>
      <c r="H300" s="8"/>
      <c r="I300" s="8">
        <f ca="1">IFERROR(__xludf.DUMMYFUNCTION("""COMPUTED_VALUE"""),100)</f>
        <v>100</v>
      </c>
      <c r="J300" s="8"/>
      <c r="K300" s="8"/>
      <c r="L300" s="8" t="str">
        <f ca="1">IFERROR(__xludf.DUMMYFUNCTION("""COMPUTED_VALUE"""),"C.A. Silla Integrant Col-lectius")</f>
        <v>C.A. Silla Integrant Col-lectius</v>
      </c>
      <c r="M300" s="16" t="str">
        <f ca="1">IFERROR(__xludf.DUMMYFUNCTION("""COMPUTED_VALUE"""),"ESP")</f>
        <v>ESP</v>
      </c>
      <c r="N300" s="16" t="str">
        <f ca="1">IFERROR(__xludf.DUMMYFUNCTION("""COMPUTED_VALUE"""),"Fontana")</f>
        <v>Fontana</v>
      </c>
      <c r="O300" s="8" t="str">
        <f ca="1">IFERROR(__xludf.DUMMYFUNCTION("""COMPUTED_VALUE"""),"Iñigo")</f>
        <v>Iñigo</v>
      </c>
      <c r="P300" s="8">
        <f ca="1">IFERROR(__xludf.DUMMYFUNCTION("""COMPUTED_VALUE"""),84)</f>
        <v>84</v>
      </c>
      <c r="Q300" s="8">
        <f ca="1">IFERROR(__xludf.DUMMYFUNCTION("""COMPUTED_VALUE"""),8)</f>
        <v>8</v>
      </c>
      <c r="R300" s="8">
        <f ca="1">IFERROR(__xludf.DUMMYFUNCTION("""COMPUTED_VALUE"""),672)</f>
        <v>672</v>
      </c>
      <c r="S300" s="8">
        <f ca="1">IFERROR(__xludf.DUMMYFUNCTION("""COMPUTED_VALUE"""),12.8)</f>
        <v>12.8</v>
      </c>
      <c r="T300" s="8">
        <f ca="1">IFERROR(__xludf.DUMMYFUNCTION("""COMPUTED_VALUE"""),684.8)</f>
        <v>684.8</v>
      </c>
      <c r="U300" s="8"/>
      <c r="V300" s="8"/>
      <c r="W300" s="8"/>
      <c r="X300" s="8"/>
      <c r="Y300" s="8"/>
      <c r="Z300" s="37" t="str">
        <f ca="1">IFERROR(__xludf.DUMMYFUNCTION("""COMPUTED_VALUE"""),"JU594")</f>
        <v>JU594</v>
      </c>
      <c r="AA300" s="37" t="str">
        <f ca="1">IFERROR(__xludf.DUMMYFUNCTION("""COMPUTED_VALUE"""),"27/10/2024")</f>
        <v>27/10/2024</v>
      </c>
      <c r="AB300" s="64">
        <f ca="1">IFERROR(__xludf.DUMMYFUNCTION("""COMPUTED_VALUE"""),0.708333333333333)</f>
        <v>0.70833333333333304</v>
      </c>
    </row>
    <row r="301" spans="1:28" ht="14.55" customHeight="1" x14ac:dyDescent="0.3">
      <c r="A301" s="8">
        <v>9</v>
      </c>
      <c r="B301" s="8"/>
      <c r="C301" s="8"/>
      <c r="D301" s="8" t="str">
        <f ca="1">IFERROR(__xludf.DUMMYFUNCTION("""COMPUTED_VALUE"""),"14/08/2024")</f>
        <v>14/08/2024</v>
      </c>
      <c r="E301" s="16" t="str">
        <f ca="1">IFERROR(__xludf.DUMMYFUNCTION("""COMPUTED_VALUE"""),"Player")</f>
        <v>Player</v>
      </c>
      <c r="F301" s="8" t="str">
        <f ca="1">IFERROR(__xludf.DUMMYFUNCTION("""COMPUTED_VALUE"""),"Garcia Molina, Jose")</f>
        <v>Garcia Molina, Jose</v>
      </c>
      <c r="G301" s="16" t="str">
        <f ca="1">IFERROR(__xludf.DUMMYFUNCTION("""COMPUTED_VALUE"""),"ESP")</f>
        <v>ESP</v>
      </c>
      <c r="H301" s="8"/>
      <c r="I301" s="8">
        <f ca="1">IFERROR(__xludf.DUMMYFUNCTION("""COMPUTED_VALUE"""),100)</f>
        <v>100</v>
      </c>
      <c r="J301" s="8"/>
      <c r="K301" s="8"/>
      <c r="L301" s="8" t="str">
        <f ca="1">IFERROR(__xludf.DUMMYFUNCTION("""COMPUTED_VALUE"""),"C.A. Silla Integrant Col-lectius")</f>
        <v>C.A. Silla Integrant Col-lectius</v>
      </c>
      <c r="M301" s="16" t="str">
        <f ca="1">IFERROR(__xludf.DUMMYFUNCTION("""COMPUTED_VALUE"""),"ESP")</f>
        <v>ESP</v>
      </c>
      <c r="N301" s="16" t="str">
        <f ca="1">IFERROR(__xludf.DUMMYFUNCTION("""COMPUTED_VALUE"""),"Fontana")</f>
        <v>Fontana</v>
      </c>
      <c r="O301" s="8" t="str">
        <f ca="1">IFERROR(__xludf.DUMMYFUNCTION("""COMPUTED_VALUE"""),"Ruben")</f>
        <v>Ruben</v>
      </c>
      <c r="P301" s="8">
        <f ca="1">IFERROR(__xludf.DUMMYFUNCTION("""COMPUTED_VALUE"""),84)</f>
        <v>84</v>
      </c>
      <c r="Q301" s="8">
        <f ca="1">IFERROR(__xludf.DUMMYFUNCTION("""COMPUTED_VALUE"""),8)</f>
        <v>8</v>
      </c>
      <c r="R301" s="8">
        <f ca="1">IFERROR(__xludf.DUMMYFUNCTION("""COMPUTED_VALUE"""),672)</f>
        <v>672</v>
      </c>
      <c r="S301" s="8">
        <f ca="1">IFERROR(__xludf.DUMMYFUNCTION("""COMPUTED_VALUE"""),12.8)</f>
        <v>12.8</v>
      </c>
      <c r="T301" s="8">
        <f ca="1">IFERROR(__xludf.DUMMYFUNCTION("""COMPUTED_VALUE"""),684.8)</f>
        <v>684.8</v>
      </c>
      <c r="U301" s="8"/>
      <c r="V301" s="8"/>
      <c r="W301" s="8"/>
      <c r="X301" s="8"/>
      <c r="Y301" s="8"/>
      <c r="Z301" s="37" t="str">
        <f ca="1">IFERROR(__xludf.DUMMYFUNCTION("""COMPUTED_VALUE"""),"JU594")</f>
        <v>JU594</v>
      </c>
      <c r="AA301" s="37" t="str">
        <f ca="1">IFERROR(__xludf.DUMMYFUNCTION("""COMPUTED_VALUE"""),"27/10/2024")</f>
        <v>27/10/2024</v>
      </c>
      <c r="AB301" s="64">
        <f ca="1">IFERROR(__xludf.DUMMYFUNCTION("""COMPUTED_VALUE"""),0.708333333333333)</f>
        <v>0.70833333333333304</v>
      </c>
    </row>
    <row r="302" spans="1:28" ht="14.55" customHeight="1" x14ac:dyDescent="0.3">
      <c r="A302" s="8">
        <v>10</v>
      </c>
      <c r="B302" s="8"/>
      <c r="C302" s="8"/>
      <c r="D302" s="13">
        <f ca="1">IFERROR(__xludf.DUMMYFUNCTION("""COMPUTED_VALUE"""),45542)</f>
        <v>45542</v>
      </c>
      <c r="E302" s="16" t="str">
        <f ca="1">IFERROR(__xludf.DUMMYFUNCTION("""COMPUTED_VALUE"""),"Player")</f>
        <v>Player</v>
      </c>
      <c r="F302" s="8" t="str">
        <f ca="1">IFERROR(__xludf.DUMMYFUNCTION("""COMPUTED_VALUE"""),"Stanic, Zoran")</f>
        <v>Stanic, Zoran</v>
      </c>
      <c r="G302" s="16" t="str">
        <f ca="1">IFERROR(__xludf.DUMMYFUNCTION("""COMPUTED_VALUE"""),"CRO")</f>
        <v>CRO</v>
      </c>
      <c r="H302" s="8"/>
      <c r="I302" s="8">
        <f ca="1">IFERROR(__xludf.DUMMYFUNCTION("""COMPUTED_VALUE"""),100)</f>
        <v>100</v>
      </c>
      <c r="J302" s="8"/>
      <c r="K302" s="8"/>
      <c r="L302" s="8" t="str">
        <f ca="1">IFERROR(__xludf.DUMMYFUNCTION("""COMPUTED_VALUE"""),"Gambit Bonnevoie I")</f>
        <v>Gambit Bonnevoie I</v>
      </c>
      <c r="M302" s="16" t="str">
        <f ca="1">IFERROR(__xludf.DUMMYFUNCTION("""COMPUTED_VALUE"""),"LUX")</f>
        <v>LUX</v>
      </c>
      <c r="N302" s="16" t="str">
        <f ca="1">IFERROR(__xludf.DUMMYFUNCTION("""COMPUTED_VALUE"""),"Fontana")</f>
        <v>Fontana</v>
      </c>
      <c r="O302" s="8"/>
      <c r="P302" s="8">
        <f ca="1">IFERROR(__xludf.DUMMYFUNCTION("""COMPUTED_VALUE"""),104)</f>
        <v>104</v>
      </c>
      <c r="Q302" s="8">
        <f ca="1">IFERROR(__xludf.DUMMYFUNCTION("""COMPUTED_VALUE"""),8)</f>
        <v>8</v>
      </c>
      <c r="R302" s="8">
        <f ca="1">IFERROR(__xludf.DUMMYFUNCTION("""COMPUTED_VALUE"""),832)</f>
        <v>832</v>
      </c>
      <c r="S302" s="8">
        <f ca="1">IFERROR(__xludf.DUMMYFUNCTION("""COMPUTED_VALUE"""),12.8)</f>
        <v>12.8</v>
      </c>
      <c r="T302" s="8">
        <f ca="1">IFERROR(__xludf.DUMMYFUNCTION("""COMPUTED_VALUE"""),844.8)</f>
        <v>844.8</v>
      </c>
      <c r="U302" s="8"/>
      <c r="V302" s="8"/>
      <c r="W302" s="8"/>
      <c r="X302" s="8"/>
      <c r="Y302" s="8"/>
      <c r="Z302" s="37" t="str">
        <f ca="1">IFERROR(__xludf.DUMMYFUNCTION("""COMPUTED_VALUE"""),"JU 604")</f>
        <v>JU 604</v>
      </c>
      <c r="AA302" s="37" t="str">
        <f ca="1">IFERROR(__xludf.DUMMYFUNCTION("""COMPUTED_VALUE"""),"27/10/2024")</f>
        <v>27/10/2024</v>
      </c>
      <c r="AB302" s="64">
        <f ca="1">IFERROR(__xludf.DUMMYFUNCTION("""COMPUTED_VALUE"""),0.708333333333333)</f>
        <v>0.70833333333333304</v>
      </c>
    </row>
    <row r="303" spans="1:28" ht="14.55" customHeight="1" x14ac:dyDescent="0.3">
      <c r="A303" s="8">
        <v>11</v>
      </c>
      <c r="B303" s="8"/>
      <c r="C303" s="8"/>
      <c r="D303" s="8" t="str">
        <f ca="1">IFERROR(__xludf.DUMMYFUNCTION("""COMPUTED_VALUE"""),"28/08/2024")</f>
        <v>28/08/2024</v>
      </c>
      <c r="E303" s="16" t="str">
        <f ca="1">IFERROR(__xludf.DUMMYFUNCTION("""COMPUTED_VALUE"""),"Player")</f>
        <v>Player</v>
      </c>
      <c r="F303" s="8" t="str">
        <f ca="1">IFERROR(__xludf.DUMMYFUNCTION("""COMPUTED_VALUE"""),"Van Foreest, Jorden")</f>
        <v>Van Foreest, Jorden</v>
      </c>
      <c r="G303" s="16" t="str">
        <f ca="1">IFERROR(__xludf.DUMMYFUNCTION("""COMPUTED_VALUE"""),"NED")</f>
        <v>NED</v>
      </c>
      <c r="H303" s="8"/>
      <c r="I303" s="8">
        <f ca="1">IFERROR(__xludf.DUMMYFUNCTION("""COMPUTED_VALUE"""),100)</f>
        <v>100</v>
      </c>
      <c r="J303" s="8"/>
      <c r="K303" s="8"/>
      <c r="L303" s="8" t="str">
        <f ca="1">IFERROR(__xludf.DUMMYFUNCTION("""COMPUTED_VALUE"""),"SuperChess")</f>
        <v>SuperChess</v>
      </c>
      <c r="M303" s="16" t="str">
        <f ca="1">IFERROR(__xludf.DUMMYFUNCTION("""COMPUTED_VALUE"""),"ROU")</f>
        <v>ROU</v>
      </c>
      <c r="N303" s="16" t="str">
        <f ca="1">IFERROR(__xludf.DUMMYFUNCTION("""COMPUTED_VALUE"""),"Kocka")</f>
        <v>Kocka</v>
      </c>
      <c r="O303" s="8"/>
      <c r="P303" s="8">
        <f ca="1">IFERROR(__xludf.DUMMYFUNCTION("""COMPUTED_VALUE"""),104)</f>
        <v>104</v>
      </c>
      <c r="Q303" s="8">
        <f ca="1">IFERROR(__xludf.DUMMYFUNCTION("""COMPUTED_VALUE"""),8)</f>
        <v>8</v>
      </c>
      <c r="R303" s="8">
        <f ca="1">IFERROR(__xludf.DUMMYFUNCTION("""COMPUTED_VALUE"""),832)</f>
        <v>832</v>
      </c>
      <c r="S303" s="8">
        <f ca="1">IFERROR(__xludf.DUMMYFUNCTION("""COMPUTED_VALUE"""),12.8)</f>
        <v>12.8</v>
      </c>
      <c r="T303" s="8">
        <f ca="1">IFERROR(__xludf.DUMMYFUNCTION("""COMPUTED_VALUE"""),844.8)</f>
        <v>844.8</v>
      </c>
      <c r="U303" s="8"/>
      <c r="V303" s="8"/>
      <c r="W303" s="8"/>
      <c r="X303" s="8"/>
      <c r="Y303" s="8"/>
      <c r="Z303" s="37" t="str">
        <f ca="1">IFERROR(__xludf.DUMMYFUNCTION("""COMPUTED_VALUE"""),"JU 594")</f>
        <v>JU 594</v>
      </c>
      <c r="AA303" s="37" t="str">
        <f ca="1">IFERROR(__xludf.DUMMYFUNCTION("""COMPUTED_VALUE"""),"27/10/2024")</f>
        <v>27/10/2024</v>
      </c>
      <c r="AB303" s="64">
        <f ca="1">IFERROR(__xludf.DUMMYFUNCTION("""COMPUTED_VALUE"""),0.708333333333333)</f>
        <v>0.70833333333333304</v>
      </c>
    </row>
    <row r="304" spans="1:28" ht="14.55" customHeight="1" x14ac:dyDescent="0.3">
      <c r="A304" s="8">
        <v>12</v>
      </c>
      <c r="B304" s="8"/>
      <c r="C304" s="8" t="str">
        <f ca="1">IFERROR(__xludf.DUMMYFUNCTION("""COMPUTED_VALUE"""),"NEW PLAYER")</f>
        <v>NEW PLAYER</v>
      </c>
      <c r="D304" s="8" t="str">
        <f ca="1">IFERROR(__xludf.DUMMYFUNCTION("""COMPUTED_VALUE"""),"29/07/2024")</f>
        <v>29/07/2024</v>
      </c>
      <c r="E304" s="16" t="str">
        <f ca="1">IFERROR(__xludf.DUMMYFUNCTION("""COMPUTED_VALUE"""),"Player")</f>
        <v>Player</v>
      </c>
      <c r="F304" s="8" t="str">
        <f ca="1">IFERROR(__xludf.DUMMYFUNCTION("""COMPUTED_VALUE"""),"Mindru, Valery")</f>
        <v>Mindru, Valery</v>
      </c>
      <c r="G304" s="16" t="str">
        <f ca="1">IFERROR(__xludf.DUMMYFUNCTION("""COMPUTED_VALUE"""),"MDA")</f>
        <v>MDA</v>
      </c>
      <c r="H304" s="8"/>
      <c r="I304" s="8">
        <f ca="1">IFERROR(__xludf.DUMMYFUNCTION("""COMPUTED_VALUE"""),100)</f>
        <v>100</v>
      </c>
      <c r="J304" s="8"/>
      <c r="K304" s="8"/>
      <c r="L304" s="8" t="str">
        <f ca="1">IFERROR(__xludf.DUMMYFUNCTION("""COMPUTED_VALUE"""),"Perfect")</f>
        <v>Perfect</v>
      </c>
      <c r="M304" s="16" t="str">
        <f ca="1">IFERROR(__xludf.DUMMYFUNCTION("""COMPUTED_VALUE"""),"MDA")</f>
        <v>MDA</v>
      </c>
      <c r="N304" s="16" t="str">
        <f ca="1">IFERROR(__xludf.DUMMYFUNCTION("""COMPUTED_VALUE"""),"Fontana")</f>
        <v>Fontana</v>
      </c>
      <c r="O304" s="8" t="str">
        <f ca="1">IFERROR(__xludf.DUMMYFUNCTION("""COMPUTED_VALUE"""),"Alekseev")</f>
        <v>Alekseev</v>
      </c>
      <c r="P304" s="8">
        <f ca="1">IFERROR(__xludf.DUMMYFUNCTION("""COMPUTED_VALUE"""),84)</f>
        <v>84</v>
      </c>
      <c r="Q304" s="8">
        <f ca="1">IFERROR(__xludf.DUMMYFUNCTION("""COMPUTED_VALUE"""),8)</f>
        <v>8</v>
      </c>
      <c r="R304" s="8">
        <f ca="1">IFERROR(__xludf.DUMMYFUNCTION("""COMPUTED_VALUE"""),672)</f>
        <v>672</v>
      </c>
      <c r="S304" s="8">
        <f ca="1">IFERROR(__xludf.DUMMYFUNCTION("""COMPUTED_VALUE"""),12.8)</f>
        <v>12.8</v>
      </c>
      <c r="T304" s="8">
        <f ca="1">IFERROR(__xludf.DUMMYFUNCTION("""COMPUTED_VALUE"""),684.8)</f>
        <v>684.8</v>
      </c>
      <c r="U304" s="8"/>
      <c r="V304" s="8"/>
      <c r="W304" s="8"/>
      <c r="X304" s="8"/>
      <c r="Y304" s="8"/>
      <c r="Z304" s="37"/>
      <c r="AA304" s="37" t="str">
        <f ca="1">IFERROR(__xludf.DUMMYFUNCTION("""COMPUTED_VALUE"""),"27/10/2024")</f>
        <v>27/10/2024</v>
      </c>
      <c r="AB304" s="64">
        <v>0.70833333333333337</v>
      </c>
    </row>
    <row r="305" spans="1:28" ht="14.55" customHeight="1" x14ac:dyDescent="0.3">
      <c r="A305" s="8">
        <v>13</v>
      </c>
      <c r="B305" s="8"/>
      <c r="C305" s="8"/>
      <c r="D305" s="8"/>
      <c r="E305" s="16" t="str">
        <f ca="1">IFERROR(__xludf.DUMMYFUNCTION("""COMPUTED_VALUE"""),"Player")</f>
        <v>Player</v>
      </c>
      <c r="F305" s="8" t="str">
        <f ca="1">IFERROR(__xludf.DUMMYFUNCTION("""COMPUTED_VALUE"""),"Osmak, Yuliia")</f>
        <v>Osmak, Yuliia</v>
      </c>
      <c r="G305" s="8" t="str">
        <f ca="1">IFERROR(__xludf.DUMMYFUNCTION("""COMPUTED_VALUE"""),"UKR")</f>
        <v>UKR</v>
      </c>
      <c r="H305" s="8"/>
      <c r="I305" s="8">
        <f ca="1">IFERROR(__xludf.DUMMYFUNCTION("""COMPUTED_VALUE"""),100)</f>
        <v>100</v>
      </c>
      <c r="J305" s="8"/>
      <c r="K305" s="8"/>
      <c r="L305" s="8" t="str">
        <f ca="1">IFERROR(__xludf.DUMMYFUNCTION("""COMPUTED_VALUE"""),"Gambit Bonnevoie")</f>
        <v>Gambit Bonnevoie</v>
      </c>
      <c r="M305" s="8" t="str">
        <f ca="1">IFERROR(__xludf.DUMMYFUNCTION("""COMPUTED_VALUE"""),"LUX")</f>
        <v>LUX</v>
      </c>
      <c r="N305" s="16" t="str">
        <f ca="1">IFERROR(__xludf.DUMMYFUNCTION("""COMPUTED_VALUE"""),"Fontana")</f>
        <v>Fontana</v>
      </c>
      <c r="O305" s="8" t="str">
        <f ca="1">IFERROR(__xludf.DUMMYFUNCTION("""COMPUTED_VALUE"""),"Double")</f>
        <v>Double</v>
      </c>
      <c r="P305" s="8" t="str">
        <f ca="1">IFERROR(__xludf.DUMMYFUNCTION("""COMPUTED_VALUE"""),"BABIY Olga")</f>
        <v>BABIY Olga</v>
      </c>
      <c r="Q305" s="8">
        <f ca="1">IFERROR(__xludf.DUMMYFUNCTION("""COMPUTED_VALUE"""),8)</f>
        <v>8</v>
      </c>
      <c r="R305" s="8">
        <f ca="1">IFERROR(__xludf.DUMMYFUNCTION("""COMPUTED_VALUE"""),672)</f>
        <v>672</v>
      </c>
      <c r="S305" s="8">
        <f ca="1">IFERROR(__xludf.DUMMYFUNCTION("""COMPUTED_VALUE"""),12.8)</f>
        <v>12.8</v>
      </c>
      <c r="T305" s="8">
        <f ca="1">IFERROR(__xludf.DUMMYFUNCTION("""COMPUTED_VALUE"""),684.8)</f>
        <v>684.8</v>
      </c>
      <c r="U305" s="8"/>
      <c r="V305" s="8"/>
      <c r="W305" s="8"/>
      <c r="X305" s="8"/>
      <c r="Y305" s="8"/>
      <c r="Z305" s="37" t="str">
        <f ca="1">IFERROR(__xludf.DUMMYFUNCTION("""COMPUTED_VALUE"""),"AF6293")</f>
        <v>AF6293</v>
      </c>
      <c r="AA305" s="37" t="str">
        <f ca="1">IFERROR(__xludf.DUMMYFUNCTION("""COMPUTED_VALUE"""),"27/10/2024")</f>
        <v>27/10/2024</v>
      </c>
      <c r="AB305" s="64">
        <f ca="1">IFERROR(__xludf.DUMMYFUNCTION("""COMPUTED_VALUE"""),0.711805555555555)</f>
        <v>0.71180555555555503</v>
      </c>
    </row>
    <row r="306" spans="1:28" ht="14.55" customHeight="1" x14ac:dyDescent="0.3">
      <c r="A306" s="8">
        <v>14</v>
      </c>
      <c r="B306" s="8"/>
      <c r="C306" s="8"/>
      <c r="D306" s="8" t="str">
        <f ca="1">IFERROR(__xludf.DUMMYFUNCTION("""COMPUTED_VALUE"""),"14/08/2024")</f>
        <v>14/08/2024</v>
      </c>
      <c r="E306" s="16" t="str">
        <f ca="1">IFERROR(__xludf.DUMMYFUNCTION("""COMPUTED_VALUE"""),"Player")</f>
        <v>Player</v>
      </c>
      <c r="F306" s="8" t="str">
        <f ca="1">IFERROR(__xludf.DUMMYFUNCTION("""COMPUTED_VALUE"""),"Garcia Domingo, Jose Antonio")</f>
        <v>Garcia Domingo, Jose Antonio</v>
      </c>
      <c r="G306" s="16" t="str">
        <f ca="1">IFERROR(__xludf.DUMMYFUNCTION("""COMPUTED_VALUE"""),"ESP")</f>
        <v>ESP</v>
      </c>
      <c r="H306" s="8"/>
      <c r="I306" s="8">
        <f ca="1">IFERROR(__xludf.DUMMYFUNCTION("""COMPUTED_VALUE"""),100)</f>
        <v>100</v>
      </c>
      <c r="J306" s="8"/>
      <c r="K306" s="8"/>
      <c r="L306" s="8" t="str">
        <f ca="1">IFERROR(__xludf.DUMMYFUNCTION("""COMPUTED_VALUE"""),"C.A. Silla Integrant Col-lectius")</f>
        <v>C.A. Silla Integrant Col-lectius</v>
      </c>
      <c r="M306" s="16" t="str">
        <f ca="1">IFERROR(__xludf.DUMMYFUNCTION("""COMPUTED_VALUE"""),"ESP")</f>
        <v>ESP</v>
      </c>
      <c r="N306" s="16" t="str">
        <f ca="1">IFERROR(__xludf.DUMMYFUNCTION("""COMPUTED_VALUE"""),"Fontana")</f>
        <v>Fontana</v>
      </c>
      <c r="O306" s="8"/>
      <c r="P306" s="8">
        <f ca="1">IFERROR(__xludf.DUMMYFUNCTION("""COMPUTED_VALUE"""),104)</f>
        <v>104</v>
      </c>
      <c r="Q306" s="8">
        <f ca="1">IFERROR(__xludf.DUMMYFUNCTION("""COMPUTED_VALUE"""),8)</f>
        <v>8</v>
      </c>
      <c r="R306" s="8">
        <f ca="1">IFERROR(__xludf.DUMMYFUNCTION("""COMPUTED_VALUE"""),832)</f>
        <v>832</v>
      </c>
      <c r="S306" s="8">
        <f ca="1">IFERROR(__xludf.DUMMYFUNCTION("""COMPUTED_VALUE"""),12.8)</f>
        <v>12.8</v>
      </c>
      <c r="T306" s="8">
        <f ca="1">IFERROR(__xludf.DUMMYFUNCTION("""COMPUTED_VALUE"""),844.8)</f>
        <v>844.8</v>
      </c>
      <c r="U306" s="8"/>
      <c r="V306" s="8"/>
      <c r="W306" s="8"/>
      <c r="X306" s="8"/>
      <c r="Y306" s="8"/>
      <c r="Z306" s="37" t="str">
        <f ca="1">IFERROR(__xludf.DUMMYFUNCTION("""COMPUTED_VALUE"""),"JU584")</f>
        <v>JU584</v>
      </c>
      <c r="AA306" s="37" t="str">
        <f ca="1">IFERROR(__xludf.DUMMYFUNCTION("""COMPUTED_VALUE"""),"27/10/2024")</f>
        <v>27/10/2024</v>
      </c>
      <c r="AB306" s="64">
        <f ca="1">IFERROR(__xludf.DUMMYFUNCTION("""COMPUTED_VALUE"""),0.715277777777777)</f>
        <v>0.71527777777777701</v>
      </c>
    </row>
    <row r="307" spans="1:28" ht="14.55" customHeight="1" x14ac:dyDescent="0.3">
      <c r="A307" s="8">
        <v>15</v>
      </c>
      <c r="B307" s="8"/>
      <c r="C307" s="8"/>
      <c r="D307" s="13">
        <f ca="1">IFERROR(__xludf.DUMMYFUNCTION("""COMPUTED_VALUE"""),45299)</f>
        <v>45299</v>
      </c>
      <c r="E307" s="16" t="str">
        <f ca="1">IFERROR(__xludf.DUMMYFUNCTION("""COMPUTED_VALUE"""),"Player")</f>
        <v>Player</v>
      </c>
      <c r="F307" s="8" t="str">
        <f ca="1">IFERROR(__xludf.DUMMYFUNCTION("""COMPUTED_VALUE"""),"Ojasuo, Anton")</f>
        <v>Ojasuo, Anton</v>
      </c>
      <c r="G307" s="16" t="str">
        <f ca="1">IFERROR(__xludf.DUMMYFUNCTION("""COMPUTED_VALUE"""),"FIN")</f>
        <v>FIN</v>
      </c>
      <c r="H307" s="8"/>
      <c r="I307" s="8">
        <f ca="1">IFERROR(__xludf.DUMMYFUNCTION("""COMPUTED_VALUE"""),100)</f>
        <v>100</v>
      </c>
      <c r="J307" s="8"/>
      <c r="K307" s="8"/>
      <c r="L307" s="8" t="str">
        <f ca="1">IFERROR(__xludf.DUMMYFUNCTION("""COMPUTED_VALUE"""),"Jyväs-Shakki")</f>
        <v>Jyväs-Shakki</v>
      </c>
      <c r="M307" s="16" t="str">
        <f ca="1">IFERROR(__xludf.DUMMYFUNCTION("""COMPUTED_VALUE"""),"FIN")</f>
        <v>FIN</v>
      </c>
      <c r="N307" s="16" t="str">
        <f ca="1">IFERROR(__xludf.DUMMYFUNCTION("""COMPUTED_VALUE"""),"Fontana")</f>
        <v>Fontana</v>
      </c>
      <c r="O307" s="8"/>
      <c r="P307" s="8">
        <f ca="1">IFERROR(__xludf.DUMMYFUNCTION("""COMPUTED_VALUE"""),104)</f>
        <v>104</v>
      </c>
      <c r="Q307" s="8">
        <f ca="1">IFERROR(__xludf.DUMMYFUNCTION("""COMPUTED_VALUE"""),8)</f>
        <v>8</v>
      </c>
      <c r="R307" s="8">
        <f ca="1">IFERROR(__xludf.DUMMYFUNCTION("""COMPUTED_VALUE"""),832)</f>
        <v>832</v>
      </c>
      <c r="S307" s="8">
        <f ca="1">IFERROR(__xludf.DUMMYFUNCTION("""COMPUTED_VALUE"""),12.8)</f>
        <v>12.8</v>
      </c>
      <c r="T307" s="8">
        <f ca="1">IFERROR(__xludf.DUMMYFUNCTION("""COMPUTED_VALUE"""),844.8)</f>
        <v>844.8</v>
      </c>
      <c r="U307" s="8"/>
      <c r="V307" s="8"/>
      <c r="W307" s="8"/>
      <c r="X307" s="8"/>
      <c r="Y307" s="8"/>
      <c r="Z307" s="37" t="str">
        <f ca="1">IFERROR(__xludf.DUMMYFUNCTION("""COMPUTED_VALUE"""),"JU382")</f>
        <v>JU382</v>
      </c>
      <c r="AA307" s="37" t="str">
        <f ca="1">IFERROR(__xludf.DUMMYFUNCTION("""COMPUTED_VALUE"""),"27/10/2024")</f>
        <v>27/10/2024</v>
      </c>
      <c r="AB307" s="64">
        <f ca="1">IFERROR(__xludf.DUMMYFUNCTION("""COMPUTED_VALUE"""),0.715277777777777)</f>
        <v>0.71527777777777701</v>
      </c>
    </row>
    <row r="308" spans="1:28" ht="14.55" customHeight="1" x14ac:dyDescent="0.3">
      <c r="A308" s="8">
        <v>16</v>
      </c>
      <c r="B308" s="8"/>
      <c r="C308" s="8"/>
      <c r="D308" s="8" t="str">
        <f ca="1">IFERROR(__xludf.DUMMYFUNCTION("""COMPUTED_VALUE"""),"15/08/2024")</f>
        <v>15/08/2024</v>
      </c>
      <c r="E308" s="16" t="str">
        <f ca="1">IFERROR(__xludf.DUMMYFUNCTION("""COMPUTED_VALUE"""),"Player")</f>
        <v>Player</v>
      </c>
      <c r="F308" s="8" t="str">
        <f ca="1">IFERROR(__xludf.DUMMYFUNCTION("""COMPUTED_VALUE"""),"Dragicevic, Drazen")</f>
        <v>Dragicevic, Drazen</v>
      </c>
      <c r="G308" s="16" t="str">
        <f ca="1">IFERROR(__xludf.DUMMYFUNCTION("""COMPUTED_VALUE"""),"SWE")</f>
        <v>SWE</v>
      </c>
      <c r="H308" s="8"/>
      <c r="I308" s="8">
        <f ca="1">IFERROR(__xludf.DUMMYFUNCTION("""COMPUTED_VALUE"""),100)</f>
        <v>100</v>
      </c>
      <c r="J308" s="8"/>
      <c r="K308" s="8"/>
      <c r="L308" s="8" t="str">
        <f ca="1">IFERROR(__xludf.DUMMYFUNCTION("""COMPUTED_VALUE"""),"Lunds ASK")</f>
        <v>Lunds ASK</v>
      </c>
      <c r="M308" s="16" t="str">
        <f ca="1">IFERROR(__xludf.DUMMYFUNCTION("""COMPUTED_VALUE"""),"SWE")</f>
        <v>SWE</v>
      </c>
      <c r="N308" s="16" t="str">
        <f ca="1">IFERROR(__xludf.DUMMYFUNCTION("""COMPUTED_VALUE"""),"Tonanti")</f>
        <v>Tonanti</v>
      </c>
      <c r="O308" s="8"/>
      <c r="P308" s="8">
        <f ca="1">IFERROR(__xludf.DUMMYFUNCTION("""COMPUTED_VALUE"""),85)</f>
        <v>85</v>
      </c>
      <c r="Q308" s="8">
        <f ca="1">IFERROR(__xludf.DUMMYFUNCTION("""COMPUTED_VALUE"""),8)</f>
        <v>8</v>
      </c>
      <c r="R308" s="8">
        <f ca="1">IFERROR(__xludf.DUMMYFUNCTION("""COMPUTED_VALUE"""),680)</f>
        <v>680</v>
      </c>
      <c r="S308" s="8">
        <f ca="1">IFERROR(__xludf.DUMMYFUNCTION("""COMPUTED_VALUE"""),12.8)</f>
        <v>12.8</v>
      </c>
      <c r="T308" s="8">
        <f ca="1">IFERROR(__xludf.DUMMYFUNCTION("""COMPUTED_VALUE"""),692.8)</f>
        <v>692.8</v>
      </c>
      <c r="U308" s="8"/>
      <c r="V308" s="8"/>
      <c r="W308" s="8"/>
      <c r="X308" s="8"/>
      <c r="Y308" s="8"/>
      <c r="Z308" s="37" t="str">
        <f ca="1">IFERROR(__xludf.DUMMYFUNCTION("""COMPUTED_VALUE"""),"JU382")</f>
        <v>JU382</v>
      </c>
      <c r="AA308" s="37" t="str">
        <f ca="1">IFERROR(__xludf.DUMMYFUNCTION("""COMPUTED_VALUE"""),"27/10/2024")</f>
        <v>27/10/2024</v>
      </c>
      <c r="AB308" s="64">
        <f ca="1">IFERROR(__xludf.DUMMYFUNCTION("""COMPUTED_VALUE"""),0.715277777777777)</f>
        <v>0.71527777777777701</v>
      </c>
    </row>
    <row r="309" spans="1:28" ht="14.55" customHeight="1" x14ac:dyDescent="0.3">
      <c r="A309" s="8">
        <v>17</v>
      </c>
      <c r="B309" s="8"/>
      <c r="C309" s="8"/>
      <c r="D309" s="8" t="str">
        <f ca="1">IFERROR(__xludf.DUMMYFUNCTION("""COMPUTED_VALUE"""),"16/07/2024")</f>
        <v>16/07/2024</v>
      </c>
      <c r="E309" s="16" t="str">
        <f ca="1">IFERROR(__xludf.DUMMYFUNCTION("""COMPUTED_VALUE"""),"Player")</f>
        <v>Player</v>
      </c>
      <c r="F309" s="8" t="str">
        <f ca="1">IFERROR(__xludf.DUMMYFUNCTION("""COMPUTED_VALUE"""),"Anton Guijarro, David")</f>
        <v>Anton Guijarro, David</v>
      </c>
      <c r="G309" s="16" t="str">
        <f ca="1">IFERROR(__xludf.DUMMYFUNCTION("""COMPUTED_VALUE"""),"ESP")</f>
        <v>ESP</v>
      </c>
      <c r="H309" s="8"/>
      <c r="I309" s="8">
        <f ca="1">IFERROR(__xludf.DUMMYFUNCTION("""COMPUTED_VALUE"""),100)</f>
        <v>100</v>
      </c>
      <c r="J309" s="8"/>
      <c r="K309" s="8"/>
      <c r="L309" s="8" t="str">
        <f ca="1">IFERROR(__xludf.DUMMYFUNCTION("""COMPUTED_VALUE"""),"Novy Bor Chess Club")</f>
        <v>Novy Bor Chess Club</v>
      </c>
      <c r="M309" s="16" t="str">
        <f ca="1">IFERROR(__xludf.DUMMYFUNCTION("""COMPUTED_VALUE"""),"CZE")</f>
        <v>CZE</v>
      </c>
      <c r="N309" s="16" t="str">
        <f ca="1">IFERROR(__xludf.DUMMYFUNCTION("""COMPUTED_VALUE"""),"Fontana")</f>
        <v>Fontana</v>
      </c>
      <c r="O309" s="8"/>
      <c r="P309" s="8">
        <f ca="1">IFERROR(__xludf.DUMMYFUNCTION("""COMPUTED_VALUE"""),104)</f>
        <v>104</v>
      </c>
      <c r="Q309" s="8">
        <f ca="1">IFERROR(__xludf.DUMMYFUNCTION("""COMPUTED_VALUE"""),8)</f>
        <v>8</v>
      </c>
      <c r="R309" s="8">
        <f ca="1">IFERROR(__xludf.DUMMYFUNCTION("""COMPUTED_VALUE"""),832)</f>
        <v>832</v>
      </c>
      <c r="S309" s="8">
        <f ca="1">IFERROR(__xludf.DUMMYFUNCTION("""COMPUTED_VALUE"""),12.8)</f>
        <v>12.8</v>
      </c>
      <c r="T309" s="8">
        <f ca="1">IFERROR(__xludf.DUMMYFUNCTION("""COMPUTED_VALUE"""),844.8)</f>
        <v>844.8</v>
      </c>
      <c r="U309" s="8"/>
      <c r="V309" s="8"/>
      <c r="W309" s="8"/>
      <c r="X309" s="8"/>
      <c r="Y309" s="8"/>
      <c r="Z309" s="37"/>
      <c r="AA309" s="37" t="str">
        <f ca="1">IFERROR(__xludf.DUMMYFUNCTION("""COMPUTED_VALUE"""),"27/10/2024")</f>
        <v>27/10/2024</v>
      </c>
      <c r="AB309" s="64">
        <f ca="1">IFERROR(__xludf.DUMMYFUNCTION("""COMPUTED_VALUE"""),0.715277777777777)</f>
        <v>0.71527777777777701</v>
      </c>
    </row>
    <row r="310" spans="1:28" ht="14.55" customHeight="1" x14ac:dyDescent="0.3">
      <c r="A310" s="8">
        <v>18</v>
      </c>
      <c r="B310" s="8"/>
      <c r="C310" s="8"/>
      <c r="D310" s="8" t="str">
        <f ca="1">IFERROR(__xludf.DUMMYFUNCTION("""COMPUTED_VALUE"""),"14/08/2024")</f>
        <v>14/08/2024</v>
      </c>
      <c r="E310" s="16" t="str">
        <f ca="1">IFERROR(__xludf.DUMMYFUNCTION("""COMPUTED_VALUE"""),"Player")</f>
        <v>Player</v>
      </c>
      <c r="F310" s="8" t="str">
        <f ca="1">IFERROR(__xludf.DUMMYFUNCTION("""COMPUTED_VALUE"""),"Kauppila, Osmo")</f>
        <v>Kauppila, Osmo</v>
      </c>
      <c r="G310" s="16" t="str">
        <f ca="1">IFERROR(__xludf.DUMMYFUNCTION("""COMPUTED_VALUE"""),"FIN")</f>
        <v>FIN</v>
      </c>
      <c r="H310" s="8"/>
      <c r="I310" s="8">
        <f ca="1">IFERROR(__xludf.DUMMYFUNCTION("""COMPUTED_VALUE"""),100)</f>
        <v>100</v>
      </c>
      <c r="J310" s="8"/>
      <c r="K310" s="8"/>
      <c r="L310" s="8" t="str">
        <f ca="1">IFERROR(__xludf.DUMMYFUNCTION("""COMPUTED_VALUE"""),"Raahen Linnoitus")</f>
        <v>Raahen Linnoitus</v>
      </c>
      <c r="M310" s="16" t="str">
        <f ca="1">IFERROR(__xludf.DUMMYFUNCTION("""COMPUTED_VALUE"""),"FIN")</f>
        <v>FIN</v>
      </c>
      <c r="N310" s="16" t="str">
        <f ca="1">IFERROR(__xludf.DUMMYFUNCTION("""COMPUTED_VALUE"""),"Fontana")</f>
        <v>Fontana</v>
      </c>
      <c r="O310" s="8" t="str">
        <f ca="1">IFERROR(__xludf.DUMMYFUNCTION("""COMPUTED_VALUE"""),"Aleksi Wallin")</f>
        <v>Aleksi Wallin</v>
      </c>
      <c r="P310" s="8">
        <f ca="1">IFERROR(__xludf.DUMMYFUNCTION("""COMPUTED_VALUE"""),84)</f>
        <v>84</v>
      </c>
      <c r="Q310" s="8">
        <f ca="1">IFERROR(__xludf.DUMMYFUNCTION("""COMPUTED_VALUE"""),8)</f>
        <v>8</v>
      </c>
      <c r="R310" s="8">
        <f ca="1">IFERROR(__xludf.DUMMYFUNCTION("""COMPUTED_VALUE"""),672)</f>
        <v>672</v>
      </c>
      <c r="S310" s="8">
        <f ca="1">IFERROR(__xludf.DUMMYFUNCTION("""COMPUTED_VALUE"""),12.8)</f>
        <v>12.8</v>
      </c>
      <c r="T310" s="8">
        <f ca="1">IFERROR(__xludf.DUMMYFUNCTION("""COMPUTED_VALUE"""),684.8)</f>
        <v>684.8</v>
      </c>
      <c r="U310" s="8"/>
      <c r="V310" s="8"/>
      <c r="W310" s="8"/>
      <c r="X310" s="8"/>
      <c r="Y310" s="8"/>
      <c r="Z310" s="37" t="str">
        <f ca="1">IFERROR(__xludf.DUMMYFUNCTION("""COMPUTED_VALUE"""),"JU382")</f>
        <v>JU382</v>
      </c>
      <c r="AA310" s="37" t="str">
        <f ca="1">IFERROR(__xludf.DUMMYFUNCTION("""COMPUTED_VALUE"""),"27/10/2024")</f>
        <v>27/10/2024</v>
      </c>
      <c r="AB310" s="64">
        <f ca="1">IFERROR(__xludf.DUMMYFUNCTION("""COMPUTED_VALUE"""),0.715277777777777)</f>
        <v>0.71527777777777701</v>
      </c>
    </row>
    <row r="311" spans="1:28" ht="14.55" customHeight="1" x14ac:dyDescent="0.3">
      <c r="A311" s="8">
        <v>19</v>
      </c>
      <c r="B311" s="8"/>
      <c r="C311" s="8"/>
      <c r="D311" s="8" t="str">
        <f ca="1">IFERROR(__xludf.DUMMYFUNCTION("""COMPUTED_VALUE"""),"14/08/2024")</f>
        <v>14/08/2024</v>
      </c>
      <c r="E311" s="16" t="str">
        <f ca="1">IFERROR(__xludf.DUMMYFUNCTION("""COMPUTED_VALUE"""),"Player")</f>
        <v>Player</v>
      </c>
      <c r="F311" s="8" t="str">
        <f ca="1">IFERROR(__xludf.DUMMYFUNCTION("""COMPUTED_VALUE"""),"Pitkaaho, Aki")</f>
        <v>Pitkaaho, Aki</v>
      </c>
      <c r="G311" s="16" t="str">
        <f ca="1">IFERROR(__xludf.DUMMYFUNCTION("""COMPUTED_VALUE"""),"FIN")</f>
        <v>FIN</v>
      </c>
      <c r="H311" s="8"/>
      <c r="I311" s="8">
        <f ca="1">IFERROR(__xludf.DUMMYFUNCTION("""COMPUTED_VALUE"""),100)</f>
        <v>100</v>
      </c>
      <c r="J311" s="8"/>
      <c r="K311" s="8"/>
      <c r="L311" s="8" t="str">
        <f ca="1">IFERROR(__xludf.DUMMYFUNCTION("""COMPUTED_VALUE"""),"Raahen Linnoitus")</f>
        <v>Raahen Linnoitus</v>
      </c>
      <c r="M311" s="16" t="str">
        <f ca="1">IFERROR(__xludf.DUMMYFUNCTION("""COMPUTED_VALUE"""),"FIN")</f>
        <v>FIN</v>
      </c>
      <c r="N311" s="16" t="str">
        <f ca="1">IFERROR(__xludf.DUMMYFUNCTION("""COMPUTED_VALUE"""),"Fontana")</f>
        <v>Fontana</v>
      </c>
      <c r="O311" s="8" t="str">
        <f ca="1">IFERROR(__xludf.DUMMYFUNCTION("""COMPUTED_VALUE"""),"Terhi Pitkäaho")</f>
        <v>Terhi Pitkäaho</v>
      </c>
      <c r="P311" s="8">
        <f ca="1">IFERROR(__xludf.DUMMYFUNCTION("""COMPUTED_VALUE"""),84)</f>
        <v>84</v>
      </c>
      <c r="Q311" s="8">
        <f ca="1">IFERROR(__xludf.DUMMYFUNCTION("""COMPUTED_VALUE"""),8)</f>
        <v>8</v>
      </c>
      <c r="R311" s="8">
        <f ca="1">IFERROR(__xludf.DUMMYFUNCTION("""COMPUTED_VALUE"""),672)</f>
        <v>672</v>
      </c>
      <c r="S311" s="8">
        <f ca="1">IFERROR(__xludf.DUMMYFUNCTION("""COMPUTED_VALUE"""),12.8)</f>
        <v>12.8</v>
      </c>
      <c r="T311" s="8">
        <f ca="1">IFERROR(__xludf.DUMMYFUNCTION("""COMPUTED_VALUE"""),684.8)</f>
        <v>684.8</v>
      </c>
      <c r="U311" s="8"/>
      <c r="V311" s="8"/>
      <c r="W311" s="8"/>
      <c r="X311" s="8"/>
      <c r="Y311" s="8"/>
      <c r="Z311" s="37" t="str">
        <f ca="1">IFERROR(__xludf.DUMMYFUNCTION("""COMPUTED_VALUE"""),"JU382")</f>
        <v>JU382</v>
      </c>
      <c r="AA311" s="37" t="str">
        <f ca="1">IFERROR(__xludf.DUMMYFUNCTION("""COMPUTED_VALUE"""),"27/10/2024")</f>
        <v>27/10/2024</v>
      </c>
      <c r="AB311" s="64">
        <f ca="1">IFERROR(__xludf.DUMMYFUNCTION("""COMPUTED_VALUE"""),0.715277777777777)</f>
        <v>0.71527777777777701</v>
      </c>
    </row>
    <row r="312" spans="1:28" ht="14.55" customHeight="1" x14ac:dyDescent="0.3">
      <c r="A312" s="8">
        <v>20</v>
      </c>
      <c r="B312" s="8"/>
      <c r="C312" s="8"/>
      <c r="D312" s="8" t="str">
        <f ca="1">IFERROR(__xludf.DUMMYFUNCTION("""COMPUTED_VALUE"""),"14/08/2024")</f>
        <v>14/08/2024</v>
      </c>
      <c r="E312" s="16" t="str">
        <f ca="1">IFERROR(__xludf.DUMMYFUNCTION("""COMPUTED_VALUE"""),"Player")</f>
        <v>Player</v>
      </c>
      <c r="F312" s="8" t="str">
        <f ca="1">IFERROR(__xludf.DUMMYFUNCTION("""COMPUTED_VALUE"""),"Pitkaaho, Arto")</f>
        <v>Pitkaaho, Arto</v>
      </c>
      <c r="G312" s="16" t="str">
        <f ca="1">IFERROR(__xludf.DUMMYFUNCTION("""COMPUTED_VALUE"""),"FIN")</f>
        <v>FIN</v>
      </c>
      <c r="H312" s="8"/>
      <c r="I312" s="8">
        <f ca="1">IFERROR(__xludf.DUMMYFUNCTION("""COMPUTED_VALUE"""),100)</f>
        <v>100</v>
      </c>
      <c r="J312" s="8"/>
      <c r="K312" s="8"/>
      <c r="L312" s="8" t="str">
        <f ca="1">IFERROR(__xludf.DUMMYFUNCTION("""COMPUTED_VALUE"""),"Raahen Linnoitus")</f>
        <v>Raahen Linnoitus</v>
      </c>
      <c r="M312" s="16" t="str">
        <f ca="1">IFERROR(__xludf.DUMMYFUNCTION("""COMPUTED_VALUE"""),"FIN")</f>
        <v>FIN</v>
      </c>
      <c r="N312" s="16" t="str">
        <f ca="1">IFERROR(__xludf.DUMMYFUNCTION("""COMPUTED_VALUE"""),"Fontana")</f>
        <v>Fontana</v>
      </c>
      <c r="O312" s="8"/>
      <c r="P312" s="8">
        <f ca="1">IFERROR(__xludf.DUMMYFUNCTION("""COMPUTED_VALUE"""),104)</f>
        <v>104</v>
      </c>
      <c r="Q312" s="8">
        <f ca="1">IFERROR(__xludf.DUMMYFUNCTION("""COMPUTED_VALUE"""),8)</f>
        <v>8</v>
      </c>
      <c r="R312" s="8">
        <f ca="1">IFERROR(__xludf.DUMMYFUNCTION("""COMPUTED_VALUE"""),832)</f>
        <v>832</v>
      </c>
      <c r="S312" s="8">
        <f ca="1">IFERROR(__xludf.DUMMYFUNCTION("""COMPUTED_VALUE"""),12.8)</f>
        <v>12.8</v>
      </c>
      <c r="T312" s="8">
        <f ca="1">IFERROR(__xludf.DUMMYFUNCTION("""COMPUTED_VALUE"""),844.8)</f>
        <v>844.8</v>
      </c>
      <c r="U312" s="8"/>
      <c r="V312" s="8"/>
      <c r="W312" s="8"/>
      <c r="X312" s="8"/>
      <c r="Y312" s="8"/>
      <c r="Z312" s="37" t="str">
        <f ca="1">IFERROR(__xludf.DUMMYFUNCTION("""COMPUTED_VALUE"""),"JU382")</f>
        <v>JU382</v>
      </c>
      <c r="AA312" s="37" t="str">
        <f ca="1">IFERROR(__xludf.DUMMYFUNCTION("""COMPUTED_VALUE"""),"27/10/2024")</f>
        <v>27/10/2024</v>
      </c>
      <c r="AB312" s="64">
        <f ca="1">IFERROR(__xludf.DUMMYFUNCTION("""COMPUTED_VALUE"""),0.715277777777777)</f>
        <v>0.71527777777777701</v>
      </c>
    </row>
    <row r="313" spans="1:28" ht="14.55" customHeight="1" x14ac:dyDescent="0.3">
      <c r="A313" s="8">
        <v>21</v>
      </c>
      <c r="B313" s="8"/>
      <c r="C313" s="8"/>
      <c r="D313" s="8" t="str">
        <f ca="1">IFERROR(__xludf.DUMMYFUNCTION("""COMPUTED_VALUE"""),"14/08/2024")</f>
        <v>14/08/2024</v>
      </c>
      <c r="E313" s="16" t="s">
        <v>0</v>
      </c>
      <c r="F313" s="8" t="str">
        <f ca="1">IFERROR(__xludf.DUMMYFUNCTION("""COMPUTED_VALUE"""),"Pitkäaho, Terhi")</f>
        <v>Pitkäaho, Terhi</v>
      </c>
      <c r="G313" s="16" t="str">
        <f ca="1">IFERROR(__xludf.DUMMYFUNCTION("""COMPUTED_VALUE"""),"FIN")</f>
        <v>FIN</v>
      </c>
      <c r="H313" s="8"/>
      <c r="I313" s="8">
        <f ca="1">IFERROR(__xludf.DUMMYFUNCTION("""COMPUTED_VALUE"""),100)</f>
        <v>100</v>
      </c>
      <c r="J313" s="8"/>
      <c r="K313" s="8"/>
      <c r="L313" s="8" t="str">
        <f ca="1">IFERROR(__xludf.DUMMYFUNCTION("""COMPUTED_VALUE"""),"Raahen Linnoitus")</f>
        <v>Raahen Linnoitus</v>
      </c>
      <c r="M313" s="16" t="str">
        <f ca="1">IFERROR(__xludf.DUMMYFUNCTION("""COMPUTED_VALUE"""),"FIN")</f>
        <v>FIN</v>
      </c>
      <c r="N313" s="16" t="str">
        <f ca="1">IFERROR(__xludf.DUMMYFUNCTION("""COMPUTED_VALUE"""),"Fontana")</f>
        <v>Fontana</v>
      </c>
      <c r="O313" s="8" t="str">
        <f ca="1">IFERROR(__xludf.DUMMYFUNCTION("""COMPUTED_VALUE"""),"Aki Pitkäaho")</f>
        <v>Aki Pitkäaho</v>
      </c>
      <c r="P313" s="8">
        <f ca="1">IFERROR(__xludf.DUMMYFUNCTION("""COMPUTED_VALUE"""),84)</f>
        <v>84</v>
      </c>
      <c r="Q313" s="8">
        <f ca="1">IFERROR(__xludf.DUMMYFUNCTION("""COMPUTED_VALUE"""),8)</f>
        <v>8</v>
      </c>
      <c r="R313" s="8">
        <f ca="1">IFERROR(__xludf.DUMMYFUNCTION("""COMPUTED_VALUE"""),672)</f>
        <v>672</v>
      </c>
      <c r="S313" s="8">
        <f ca="1">IFERROR(__xludf.DUMMYFUNCTION("""COMPUTED_VALUE"""),12.8)</f>
        <v>12.8</v>
      </c>
      <c r="T313" s="8">
        <f ca="1">IFERROR(__xludf.DUMMYFUNCTION("""COMPUTED_VALUE"""),684.8)</f>
        <v>684.8</v>
      </c>
      <c r="U313" s="8"/>
      <c r="V313" s="8"/>
      <c r="W313" s="8"/>
      <c r="X313" s="8"/>
      <c r="Y313" s="8"/>
      <c r="Z313" s="37" t="str">
        <f ca="1">IFERROR(__xludf.DUMMYFUNCTION("""COMPUTED_VALUE"""),"JU382")</f>
        <v>JU382</v>
      </c>
      <c r="AA313" s="37" t="str">
        <f ca="1">IFERROR(__xludf.DUMMYFUNCTION("""COMPUTED_VALUE"""),"27/10/2024")</f>
        <v>27/10/2024</v>
      </c>
      <c r="AB313" s="64">
        <f ca="1">IFERROR(__xludf.DUMMYFUNCTION("""COMPUTED_VALUE"""),0.715277777777777)</f>
        <v>0.71527777777777701</v>
      </c>
    </row>
    <row r="314" spans="1:28" ht="14.55" customHeight="1" x14ac:dyDescent="0.3">
      <c r="A314" s="8">
        <v>22</v>
      </c>
      <c r="B314" s="8"/>
      <c r="C314" s="8" t="str">
        <f ca="1">IFERROR(__xludf.DUMMYFUNCTION("""COMPUTED_VALUE"""),"promenjen tim")</f>
        <v>promenjen tim</v>
      </c>
      <c r="D314" s="8" t="str">
        <f ca="1">IFERROR(__xludf.DUMMYFUNCTION("""COMPUTED_VALUE"""),"15/08/2024")</f>
        <v>15/08/2024</v>
      </c>
      <c r="E314" s="16" t="str">
        <f ca="1">IFERROR(__xludf.DUMMYFUNCTION("""COMPUTED_VALUE"""),"Player")</f>
        <v>Player</v>
      </c>
      <c r="F314" s="8" t="str">
        <f ca="1">IFERROR(__xludf.DUMMYFUNCTION("""COMPUTED_VALUE"""),"Risting, Eivind Olav")</f>
        <v>Risting, Eivind Olav</v>
      </c>
      <c r="G314" s="16" t="str">
        <f ca="1">IFERROR(__xludf.DUMMYFUNCTION("""COMPUTED_VALUE"""),"NOR")</f>
        <v>NOR</v>
      </c>
      <c r="H314" s="8"/>
      <c r="I314" s="8">
        <f ca="1">IFERROR(__xludf.DUMMYFUNCTION("""COMPUTED_VALUE"""),100)</f>
        <v>100</v>
      </c>
      <c r="J314" s="8"/>
      <c r="K314" s="8"/>
      <c r="L314" s="8" t="str">
        <f ca="1">IFERROR(__xludf.DUMMYFUNCTION("""COMPUTED_VALUE"""),"SK 1911")</f>
        <v>SK 1911</v>
      </c>
      <c r="M314" s="16" t="str">
        <f ca="1">IFERROR(__xludf.DUMMYFUNCTION("""COMPUTED_VALUE"""),"NOR")</f>
        <v>NOR</v>
      </c>
      <c r="N314" s="16" t="str">
        <f ca="1">IFERROR(__xludf.DUMMYFUNCTION("""COMPUTED_VALUE"""),"Breza")</f>
        <v>Breza</v>
      </c>
      <c r="O314" s="8"/>
      <c r="P314" s="8">
        <f ca="1">IFERROR(__xludf.DUMMYFUNCTION("""COMPUTED_VALUE"""),67)</f>
        <v>67</v>
      </c>
      <c r="Q314" s="8">
        <f ca="1">IFERROR(__xludf.DUMMYFUNCTION("""COMPUTED_VALUE"""),8)</f>
        <v>8</v>
      </c>
      <c r="R314" s="8">
        <f ca="1">IFERROR(__xludf.DUMMYFUNCTION("""COMPUTED_VALUE"""),536)</f>
        <v>536</v>
      </c>
      <c r="S314" s="8">
        <f ca="1">IFERROR(__xludf.DUMMYFUNCTION("""COMPUTED_VALUE"""),12.8)</f>
        <v>12.8</v>
      </c>
      <c r="T314" s="8">
        <f ca="1">IFERROR(__xludf.DUMMYFUNCTION("""COMPUTED_VALUE"""),548.8)</f>
        <v>548.79999999999995</v>
      </c>
      <c r="U314" s="8"/>
      <c r="V314" s="8"/>
      <c r="W314" s="8"/>
      <c r="X314" s="8"/>
      <c r="Y314" s="8"/>
      <c r="Z314" s="37" t="str">
        <f ca="1">IFERROR(__xludf.DUMMYFUNCTION("""COMPUTED_VALUE"""),"JU392")</f>
        <v>JU392</v>
      </c>
      <c r="AA314" s="37" t="str">
        <f ca="1">IFERROR(__xludf.DUMMYFUNCTION("""COMPUTED_VALUE"""),"27/10/2024")</f>
        <v>27/10/2024</v>
      </c>
      <c r="AB314" s="64">
        <f ca="1">IFERROR(__xludf.DUMMYFUNCTION("""COMPUTED_VALUE"""),0.715277777777777)</f>
        <v>0.71527777777777701</v>
      </c>
    </row>
    <row r="315" spans="1:28" ht="14.55" customHeight="1" x14ac:dyDescent="0.3">
      <c r="A315" s="8">
        <v>23</v>
      </c>
      <c r="B315" s="8"/>
      <c r="C315" s="8" t="str">
        <f ca="1">IFERROR(__xludf.DUMMYFUNCTION("""COMPUTED_VALUE"""),"promenjen tim")</f>
        <v>promenjen tim</v>
      </c>
      <c r="D315" s="8" t="str">
        <f ca="1">IFERROR(__xludf.DUMMYFUNCTION("""COMPUTED_VALUE"""),"15/08/2024")</f>
        <v>15/08/2024</v>
      </c>
      <c r="E315" s="16" t="str">
        <f ca="1">IFERROR(__xludf.DUMMYFUNCTION("""COMPUTED_VALUE"""),"Player")</f>
        <v>Player</v>
      </c>
      <c r="F315" s="8" t="str">
        <f ca="1">IFERROR(__xludf.DUMMYFUNCTION("""COMPUTED_VALUE"""),"Kjolberg, Jens Hjorth")</f>
        <v>Kjolberg, Jens Hjorth</v>
      </c>
      <c r="G315" s="16" t="str">
        <f ca="1">IFERROR(__xludf.DUMMYFUNCTION("""COMPUTED_VALUE"""),"NOR")</f>
        <v>NOR</v>
      </c>
      <c r="H315" s="8"/>
      <c r="I315" s="8">
        <f ca="1">IFERROR(__xludf.DUMMYFUNCTION("""COMPUTED_VALUE"""),100)</f>
        <v>100</v>
      </c>
      <c r="J315" s="8"/>
      <c r="K315" s="8"/>
      <c r="L315" s="8" t="str">
        <f ca="1">IFERROR(__xludf.DUMMYFUNCTION("""COMPUTED_VALUE"""),"SK 1911")</f>
        <v>SK 1911</v>
      </c>
      <c r="M315" s="16" t="str">
        <f ca="1">IFERROR(__xludf.DUMMYFUNCTION("""COMPUTED_VALUE"""),"NOR")</f>
        <v>NOR</v>
      </c>
      <c r="N315" s="16" t="str">
        <f ca="1">IFERROR(__xludf.DUMMYFUNCTION("""COMPUTED_VALUE"""),"Breza")</f>
        <v>Breza</v>
      </c>
      <c r="O315" s="8" t="str">
        <f ca="1">IFERROR(__xludf.DUMMYFUNCTION("""COMPUTED_VALUE"""),"Kjøita")</f>
        <v>Kjøita</v>
      </c>
      <c r="P315" s="8">
        <f ca="1">IFERROR(__xludf.DUMMYFUNCTION("""COMPUTED_VALUE"""),67)</f>
        <v>67</v>
      </c>
      <c r="Q315" s="8">
        <f ca="1">IFERROR(__xludf.DUMMYFUNCTION("""COMPUTED_VALUE"""),8)</f>
        <v>8</v>
      </c>
      <c r="R315" s="8">
        <f ca="1">IFERROR(__xludf.DUMMYFUNCTION("""COMPUTED_VALUE"""),536)</f>
        <v>536</v>
      </c>
      <c r="S315" s="8">
        <f ca="1">IFERROR(__xludf.DUMMYFUNCTION("""COMPUTED_VALUE"""),12.8)</f>
        <v>12.8</v>
      </c>
      <c r="T315" s="8">
        <f ca="1">IFERROR(__xludf.DUMMYFUNCTION("""COMPUTED_VALUE"""),548.8)</f>
        <v>548.79999999999995</v>
      </c>
      <c r="U315" s="8"/>
      <c r="V315" s="8"/>
      <c r="W315" s="8"/>
      <c r="X315" s="8"/>
      <c r="Y315" s="8"/>
      <c r="Z315" s="37" t="str">
        <f ca="1">IFERROR(__xludf.DUMMYFUNCTION("""COMPUTED_VALUE"""),"JU392")</f>
        <v>JU392</v>
      </c>
      <c r="AA315" s="37" t="str">
        <f ca="1">IFERROR(__xludf.DUMMYFUNCTION("""COMPUTED_VALUE"""),"27/10/2024")</f>
        <v>27/10/2024</v>
      </c>
      <c r="AB315" s="64">
        <f ca="1">IFERROR(__xludf.DUMMYFUNCTION("""COMPUTED_VALUE"""),0.715277777777777)</f>
        <v>0.71527777777777701</v>
      </c>
    </row>
    <row r="316" spans="1:28" ht="14.55" customHeight="1" x14ac:dyDescent="0.3">
      <c r="A316" s="8">
        <v>24</v>
      </c>
      <c r="B316" s="8"/>
      <c r="C316" s="8" t="str">
        <f ca="1">IFERROR(__xludf.DUMMYFUNCTION("""COMPUTED_VALUE"""),"promenjen tim")</f>
        <v>promenjen tim</v>
      </c>
      <c r="D316" s="8" t="str">
        <f ca="1">IFERROR(__xludf.DUMMYFUNCTION("""COMPUTED_VALUE"""),"15/08/2024")</f>
        <v>15/08/2024</v>
      </c>
      <c r="E316" s="16" t="str">
        <f ca="1">IFERROR(__xludf.DUMMYFUNCTION("""COMPUTED_VALUE"""),"Player")</f>
        <v>Player</v>
      </c>
      <c r="F316" s="8" t="str">
        <f ca="1">IFERROR(__xludf.DUMMYFUNCTION("""COMPUTED_VALUE"""),"Kjoita, Torgeir")</f>
        <v>Kjoita, Torgeir</v>
      </c>
      <c r="G316" s="16" t="str">
        <f ca="1">IFERROR(__xludf.DUMMYFUNCTION("""COMPUTED_VALUE"""),"NOR")</f>
        <v>NOR</v>
      </c>
      <c r="H316" s="8"/>
      <c r="I316" s="8">
        <f ca="1">IFERROR(__xludf.DUMMYFUNCTION("""COMPUTED_VALUE"""),100)</f>
        <v>100</v>
      </c>
      <c r="J316" s="8"/>
      <c r="K316" s="8"/>
      <c r="L316" s="8" t="str">
        <f ca="1">IFERROR(__xludf.DUMMYFUNCTION("""COMPUTED_VALUE"""),"SK 1911")</f>
        <v>SK 1911</v>
      </c>
      <c r="M316" s="16" t="str">
        <f ca="1">IFERROR(__xludf.DUMMYFUNCTION("""COMPUTED_VALUE"""),"NOR")</f>
        <v>NOR</v>
      </c>
      <c r="N316" s="16" t="str">
        <f ca="1">IFERROR(__xludf.DUMMYFUNCTION("""COMPUTED_VALUE"""),"Breza")</f>
        <v>Breza</v>
      </c>
      <c r="O316" s="8" t="str">
        <f ca="1">IFERROR(__xludf.DUMMYFUNCTION("""COMPUTED_VALUE"""),"Kjølberg")</f>
        <v>Kjølberg</v>
      </c>
      <c r="P316" s="8">
        <f ca="1">IFERROR(__xludf.DUMMYFUNCTION("""COMPUTED_VALUE"""),67)</f>
        <v>67</v>
      </c>
      <c r="Q316" s="8">
        <f ca="1">IFERROR(__xludf.DUMMYFUNCTION("""COMPUTED_VALUE"""),8)</f>
        <v>8</v>
      </c>
      <c r="R316" s="8">
        <f ca="1">IFERROR(__xludf.DUMMYFUNCTION("""COMPUTED_VALUE"""),536)</f>
        <v>536</v>
      </c>
      <c r="S316" s="8">
        <f ca="1">IFERROR(__xludf.DUMMYFUNCTION("""COMPUTED_VALUE"""),12.8)</f>
        <v>12.8</v>
      </c>
      <c r="T316" s="8">
        <f ca="1">IFERROR(__xludf.DUMMYFUNCTION("""COMPUTED_VALUE"""),548.8)</f>
        <v>548.79999999999995</v>
      </c>
      <c r="U316" s="8"/>
      <c r="V316" s="8"/>
      <c r="W316" s="8"/>
      <c r="X316" s="8"/>
      <c r="Y316" s="8"/>
      <c r="Z316" s="37" t="str">
        <f ca="1">IFERROR(__xludf.DUMMYFUNCTION("""COMPUTED_VALUE"""),"JU392")</f>
        <v>JU392</v>
      </c>
      <c r="AA316" s="37" t="str">
        <f ca="1">IFERROR(__xludf.DUMMYFUNCTION("""COMPUTED_VALUE"""),"27/10/2024")</f>
        <v>27/10/2024</v>
      </c>
      <c r="AB316" s="64">
        <f ca="1">IFERROR(__xludf.DUMMYFUNCTION("""COMPUTED_VALUE"""),0.715277777777777)</f>
        <v>0.71527777777777701</v>
      </c>
    </row>
    <row r="317" spans="1:28" ht="14.55" customHeight="1" x14ac:dyDescent="0.3">
      <c r="A317" s="8">
        <v>25</v>
      </c>
      <c r="B317" s="8"/>
      <c r="C317" s="8" t="str">
        <f ca="1">IFERROR(__xludf.DUMMYFUNCTION("""COMPUTED_VALUE"""),"promenjen tim")</f>
        <v>promenjen tim</v>
      </c>
      <c r="D317" s="14">
        <f ca="1">IFERROR(__xludf.DUMMYFUNCTION("""COMPUTED_VALUE"""),45575)</f>
        <v>45575</v>
      </c>
      <c r="E317" s="16" t="str">
        <f ca="1">IFERROR(__xludf.DUMMYFUNCTION("""COMPUTED_VALUE"""),"Player")</f>
        <v>Player</v>
      </c>
      <c r="F317" s="8" t="str">
        <f ca="1">IFERROR(__xludf.DUMMYFUNCTION("""COMPUTED_VALUE"""),"Bergan, Gaute")</f>
        <v>Bergan, Gaute</v>
      </c>
      <c r="G317" s="16" t="str">
        <f ca="1">IFERROR(__xludf.DUMMYFUNCTION("""COMPUTED_VALUE"""),"NOR")</f>
        <v>NOR</v>
      </c>
      <c r="H317" s="8"/>
      <c r="I317" s="8">
        <f ca="1">IFERROR(__xludf.DUMMYFUNCTION("""COMPUTED_VALUE"""),100)</f>
        <v>100</v>
      </c>
      <c r="J317" s="8"/>
      <c r="K317" s="8"/>
      <c r="L317" s="8" t="str">
        <f ca="1">IFERROR(__xludf.DUMMYFUNCTION("""COMPUTED_VALUE"""),"SK 1911")</f>
        <v>SK 1911</v>
      </c>
      <c r="M317" s="16" t="str">
        <f ca="1">IFERROR(__xludf.DUMMYFUNCTION("""COMPUTED_VALUE"""),"NOR")</f>
        <v>NOR</v>
      </c>
      <c r="N317" s="16" t="str">
        <f ca="1">IFERROR(__xludf.DUMMYFUNCTION("""COMPUTED_VALUE"""),"Breza")</f>
        <v>Breza</v>
      </c>
      <c r="O317" s="8" t="str">
        <f ca="1">IFERROR(__xludf.DUMMYFUNCTION("""COMPUTED_VALUE"""),"Heier")</f>
        <v>Heier</v>
      </c>
      <c r="P317" s="8">
        <f ca="1">IFERROR(__xludf.DUMMYFUNCTION("""COMPUTED_VALUE"""),67)</f>
        <v>67</v>
      </c>
      <c r="Q317" s="8">
        <f ca="1">IFERROR(__xludf.DUMMYFUNCTION("""COMPUTED_VALUE"""),8)</f>
        <v>8</v>
      </c>
      <c r="R317" s="8">
        <f ca="1">IFERROR(__xludf.DUMMYFUNCTION("""COMPUTED_VALUE"""),536)</f>
        <v>536</v>
      </c>
      <c r="S317" s="8">
        <f ca="1">IFERROR(__xludf.DUMMYFUNCTION("""COMPUTED_VALUE"""),12.8)</f>
        <v>12.8</v>
      </c>
      <c r="T317" s="8">
        <f ca="1">IFERROR(__xludf.DUMMYFUNCTION("""COMPUTED_VALUE"""),548.8)</f>
        <v>548.79999999999995</v>
      </c>
      <c r="U317" s="8"/>
      <c r="V317" s="8"/>
      <c r="W317" s="8"/>
      <c r="X317" s="8"/>
      <c r="Y317" s="8"/>
      <c r="Z317" s="37" t="str">
        <f ca="1">IFERROR(__xludf.DUMMYFUNCTION("""COMPUTED_VALUE"""),"JU392")</f>
        <v>JU392</v>
      </c>
      <c r="AA317" s="37" t="str">
        <f ca="1">IFERROR(__xludf.DUMMYFUNCTION("""COMPUTED_VALUE"""),"27/10/2024")</f>
        <v>27/10/2024</v>
      </c>
      <c r="AB317" s="64">
        <f ca="1">IFERROR(__xludf.DUMMYFUNCTION("""COMPUTED_VALUE"""),0.715277777777777)</f>
        <v>0.71527777777777701</v>
      </c>
    </row>
    <row r="318" spans="1:28" ht="14.55" customHeight="1" x14ac:dyDescent="0.3">
      <c r="A318" s="8">
        <v>26</v>
      </c>
      <c r="B318" s="8"/>
      <c r="C318" s="8" t="str">
        <f ca="1">IFERROR(__xludf.DUMMYFUNCTION("""COMPUTED_VALUE"""),"promenjen tim")</f>
        <v>promenjen tim</v>
      </c>
      <c r="D318" s="14">
        <f ca="1">IFERROR(__xludf.DUMMYFUNCTION("""COMPUTED_VALUE"""),45575)</f>
        <v>45575</v>
      </c>
      <c r="E318" s="16" t="str">
        <f ca="1">IFERROR(__xludf.DUMMYFUNCTION("""COMPUTED_VALUE"""),"Player")</f>
        <v>Player</v>
      </c>
      <c r="F318" s="8" t="str">
        <f ca="1">IFERROR(__xludf.DUMMYFUNCTION("""COMPUTED_VALUE"""),"Heier, Odin Nikolai")</f>
        <v>Heier, Odin Nikolai</v>
      </c>
      <c r="G318" s="16" t="str">
        <f ca="1">IFERROR(__xludf.DUMMYFUNCTION("""COMPUTED_VALUE"""),"NOR")</f>
        <v>NOR</v>
      </c>
      <c r="H318" s="8"/>
      <c r="I318" s="8">
        <f ca="1">IFERROR(__xludf.DUMMYFUNCTION("""COMPUTED_VALUE"""),100)</f>
        <v>100</v>
      </c>
      <c r="J318" s="8"/>
      <c r="K318" s="8"/>
      <c r="L318" s="8" t="str">
        <f ca="1">IFERROR(__xludf.DUMMYFUNCTION("""COMPUTED_VALUE"""),"SK 1911")</f>
        <v>SK 1911</v>
      </c>
      <c r="M318" s="16" t="str">
        <f ca="1">IFERROR(__xludf.DUMMYFUNCTION("""COMPUTED_VALUE"""),"NOR")</f>
        <v>NOR</v>
      </c>
      <c r="N318" s="16" t="str">
        <f ca="1">IFERROR(__xludf.DUMMYFUNCTION("""COMPUTED_VALUE"""),"Breza")</f>
        <v>Breza</v>
      </c>
      <c r="O318" s="8" t="str">
        <f ca="1">IFERROR(__xludf.DUMMYFUNCTION("""COMPUTED_VALUE"""),"Bergan")</f>
        <v>Bergan</v>
      </c>
      <c r="P318" s="8">
        <f ca="1">IFERROR(__xludf.DUMMYFUNCTION("""COMPUTED_VALUE"""),67)</f>
        <v>67</v>
      </c>
      <c r="Q318" s="8">
        <f ca="1">IFERROR(__xludf.DUMMYFUNCTION("""COMPUTED_VALUE"""),8)</f>
        <v>8</v>
      </c>
      <c r="R318" s="8">
        <f ca="1">IFERROR(__xludf.DUMMYFUNCTION("""COMPUTED_VALUE"""),536)</f>
        <v>536</v>
      </c>
      <c r="S318" s="8">
        <f ca="1">IFERROR(__xludf.DUMMYFUNCTION("""COMPUTED_VALUE"""),12.8)</f>
        <v>12.8</v>
      </c>
      <c r="T318" s="8">
        <f ca="1">IFERROR(__xludf.DUMMYFUNCTION("""COMPUTED_VALUE"""),548.8)</f>
        <v>548.79999999999995</v>
      </c>
      <c r="U318" s="8"/>
      <c r="V318" s="8"/>
      <c r="W318" s="8"/>
      <c r="X318" s="8"/>
      <c r="Y318" s="8"/>
      <c r="Z318" s="37" t="str">
        <f ca="1">IFERROR(__xludf.DUMMYFUNCTION("""COMPUTED_VALUE"""),"JU392")</f>
        <v>JU392</v>
      </c>
      <c r="AA318" s="37" t="str">
        <f ca="1">IFERROR(__xludf.DUMMYFUNCTION("""COMPUTED_VALUE"""),"27/10/2024")</f>
        <v>27/10/2024</v>
      </c>
      <c r="AB318" s="64">
        <f ca="1">IFERROR(__xludf.DUMMYFUNCTION("""COMPUTED_VALUE"""),0.715277777777777)</f>
        <v>0.71527777777777701</v>
      </c>
    </row>
    <row r="319" spans="1:28" ht="14.55" customHeight="1" x14ac:dyDescent="0.3">
      <c r="A319" s="8">
        <v>27</v>
      </c>
      <c r="B319" s="8"/>
      <c r="C319" s="8" t="str">
        <f ca="1">IFERROR(__xludf.DUMMYFUNCTION("""COMPUTED_VALUE"""),"promenjen tim")</f>
        <v>promenjen tim</v>
      </c>
      <c r="D319" s="14">
        <f ca="1">IFERROR(__xludf.DUMMYFUNCTION("""COMPUTED_VALUE"""),45575)</f>
        <v>45575</v>
      </c>
      <c r="E319" s="16" t="str">
        <f ca="1">IFERROR(__xludf.DUMMYFUNCTION("""COMPUTED_VALUE"""),"Player")</f>
        <v>Player</v>
      </c>
      <c r="F319" s="8" t="str">
        <f ca="1">IFERROR(__xludf.DUMMYFUNCTION("""COMPUTED_VALUE"""),"Hellerud, Lauritz Nissen")</f>
        <v>Hellerud, Lauritz Nissen</v>
      </c>
      <c r="G319" s="16" t="str">
        <f ca="1">IFERROR(__xludf.DUMMYFUNCTION("""COMPUTED_VALUE"""),"NOR")</f>
        <v>NOR</v>
      </c>
      <c r="H319" s="8"/>
      <c r="I319" s="8">
        <f ca="1">IFERROR(__xludf.DUMMYFUNCTION("""COMPUTED_VALUE"""),100)</f>
        <v>100</v>
      </c>
      <c r="J319" s="8"/>
      <c r="K319" s="8"/>
      <c r="L319" s="8" t="str">
        <f ca="1">IFERROR(__xludf.DUMMYFUNCTION("""COMPUTED_VALUE"""),"SK 1911")</f>
        <v>SK 1911</v>
      </c>
      <c r="M319" s="16" t="str">
        <f ca="1">IFERROR(__xludf.DUMMYFUNCTION("""COMPUTED_VALUE"""),"NOR")</f>
        <v>NOR</v>
      </c>
      <c r="N319" s="16" t="str">
        <f ca="1">IFERROR(__xludf.DUMMYFUNCTION("""COMPUTED_VALUE"""),"Breza")</f>
        <v>Breza</v>
      </c>
      <c r="O319" s="8" t="str">
        <f ca="1">IFERROR(__xludf.DUMMYFUNCTION("""COMPUTED_VALUE"""),"Bernt")</f>
        <v>Bernt</v>
      </c>
      <c r="P319" s="8">
        <f ca="1">IFERROR(__xludf.DUMMYFUNCTION("""COMPUTED_VALUE"""),67)</f>
        <v>67</v>
      </c>
      <c r="Q319" s="8">
        <f ca="1">IFERROR(__xludf.DUMMYFUNCTION("""COMPUTED_VALUE"""),8)</f>
        <v>8</v>
      </c>
      <c r="R319" s="8">
        <f ca="1">IFERROR(__xludf.DUMMYFUNCTION("""COMPUTED_VALUE"""),536)</f>
        <v>536</v>
      </c>
      <c r="S319" s="8">
        <f ca="1">IFERROR(__xludf.DUMMYFUNCTION("""COMPUTED_VALUE"""),12.8)</f>
        <v>12.8</v>
      </c>
      <c r="T319" s="8">
        <f ca="1">IFERROR(__xludf.DUMMYFUNCTION("""COMPUTED_VALUE"""),548.8)</f>
        <v>548.79999999999995</v>
      </c>
      <c r="U319" s="8"/>
      <c r="V319" s="8"/>
      <c r="W319" s="8"/>
      <c r="X319" s="8"/>
      <c r="Y319" s="8"/>
      <c r="Z319" s="37" t="str">
        <f ca="1">IFERROR(__xludf.DUMMYFUNCTION("""COMPUTED_VALUE"""),"JU392")</f>
        <v>JU392</v>
      </c>
      <c r="AA319" s="37" t="str">
        <f ca="1">IFERROR(__xludf.DUMMYFUNCTION("""COMPUTED_VALUE"""),"27/10/2024")</f>
        <v>27/10/2024</v>
      </c>
      <c r="AB319" s="64">
        <f ca="1">IFERROR(__xludf.DUMMYFUNCTION("""COMPUTED_VALUE"""),0.715277777777777)</f>
        <v>0.71527777777777701</v>
      </c>
    </row>
    <row r="320" spans="1:28" ht="14.55" customHeight="1" x14ac:dyDescent="0.3">
      <c r="A320" s="8">
        <v>28</v>
      </c>
      <c r="B320" s="8"/>
      <c r="C320" s="8"/>
      <c r="D320" s="8" t="str">
        <f ca="1">IFERROR(__xludf.DUMMYFUNCTION("""COMPUTED_VALUE"""),"15/08/2024")</f>
        <v>15/08/2024</v>
      </c>
      <c r="E320" s="16" t="s">
        <v>0</v>
      </c>
      <c r="F320" s="8" t="str">
        <f ca="1">IFERROR(__xludf.DUMMYFUNCTION("""COMPUTED_VALUE"""),"Hellerud, Bernt Christian")</f>
        <v>Hellerud, Bernt Christian</v>
      </c>
      <c r="G320" s="16" t="str">
        <f ca="1">IFERROR(__xludf.DUMMYFUNCTION("""COMPUTED_VALUE"""),"NOR")</f>
        <v>NOR</v>
      </c>
      <c r="H320" s="8"/>
      <c r="I320" s="8">
        <f ca="1">IFERROR(__xludf.DUMMYFUNCTION("""COMPUTED_VALUE"""),100)</f>
        <v>100</v>
      </c>
      <c r="J320" s="8"/>
      <c r="K320" s="8"/>
      <c r="L320" s="8" t="str">
        <f ca="1">IFERROR(__xludf.DUMMYFUNCTION("""COMPUTED_VALUE"""),"SK 1911")</f>
        <v>SK 1911</v>
      </c>
      <c r="M320" s="16" t="str">
        <f ca="1">IFERROR(__xludf.DUMMYFUNCTION("""COMPUTED_VALUE"""),"NOR")</f>
        <v>NOR</v>
      </c>
      <c r="N320" s="16" t="str">
        <f ca="1">IFERROR(__xludf.DUMMYFUNCTION("""COMPUTED_VALUE"""),"Terme")</f>
        <v>Terme</v>
      </c>
      <c r="O320" s="8" t="str">
        <f ca="1">IFERROR(__xludf.DUMMYFUNCTION("""COMPUTED_VALUE"""),"Lauritz")</f>
        <v>Lauritz</v>
      </c>
      <c r="P320" s="8">
        <f ca="1">IFERROR(__xludf.DUMMYFUNCTION("""COMPUTED_VALUE"""),67)</f>
        <v>67</v>
      </c>
      <c r="Q320" s="8">
        <f ca="1">IFERROR(__xludf.DUMMYFUNCTION("""COMPUTED_VALUE"""),8)</f>
        <v>8</v>
      </c>
      <c r="R320" s="8">
        <f ca="1">IFERROR(__xludf.DUMMYFUNCTION("""COMPUTED_VALUE"""),536)</f>
        <v>536</v>
      </c>
      <c r="S320" s="8">
        <f ca="1">IFERROR(__xludf.DUMMYFUNCTION("""COMPUTED_VALUE"""),12.8)</f>
        <v>12.8</v>
      </c>
      <c r="T320" s="8">
        <f ca="1">IFERROR(__xludf.DUMMYFUNCTION("""COMPUTED_VALUE"""),548.8)</f>
        <v>548.79999999999995</v>
      </c>
      <c r="U320" s="8"/>
      <c r="V320" s="8"/>
      <c r="W320" s="8"/>
      <c r="X320" s="8"/>
      <c r="Y320" s="8"/>
      <c r="Z320" s="37" t="str">
        <f ca="1">IFERROR(__xludf.DUMMYFUNCTION("""COMPUTED_VALUE"""),"JU392")</f>
        <v>JU392</v>
      </c>
      <c r="AA320" s="37" t="str">
        <f ca="1">IFERROR(__xludf.DUMMYFUNCTION("""COMPUTED_VALUE"""),"27/10/2024")</f>
        <v>27/10/2024</v>
      </c>
      <c r="AB320" s="64">
        <f ca="1">IFERROR(__xludf.DUMMYFUNCTION("""COMPUTED_VALUE"""),0.715277777777777)</f>
        <v>0.71527777777777701</v>
      </c>
    </row>
    <row r="321" spans="1:28" ht="14.55" customHeight="1" x14ac:dyDescent="0.3">
      <c r="A321" s="8">
        <v>29</v>
      </c>
      <c r="B321" s="8"/>
      <c r="C321" s="8"/>
      <c r="D321" s="8" t="str">
        <f ca="1">IFERROR(__xludf.DUMMYFUNCTION("""COMPUTED_VALUE"""),"23/05/2024")</f>
        <v>23/05/2024</v>
      </c>
      <c r="E321" s="16" t="str">
        <f ca="1">IFERROR(__xludf.DUMMYFUNCTION("""COMPUTED_VALUE"""),"Player")</f>
        <v>Player</v>
      </c>
      <c r="F321" s="8" t="str">
        <f ca="1">IFERROR(__xludf.DUMMYFUNCTION("""COMPUTED_VALUE"""),"Blomqvist, Erik")</f>
        <v>Blomqvist, Erik</v>
      </c>
      <c r="G321" s="16" t="str">
        <f ca="1">IFERROR(__xludf.DUMMYFUNCTION("""COMPUTED_VALUE"""),"SWE")</f>
        <v>SWE</v>
      </c>
      <c r="H321" s="8"/>
      <c r="I321" s="8">
        <f ca="1">IFERROR(__xludf.DUMMYFUNCTION("""COMPUTED_VALUE"""),100)</f>
        <v>100</v>
      </c>
      <c r="J321" s="8"/>
      <c r="K321" s="8"/>
      <c r="L321" s="8" t="str">
        <f ca="1">IFERROR(__xludf.DUMMYFUNCTION("""COMPUTED_VALUE"""),"SK Rockaden")</f>
        <v>SK Rockaden</v>
      </c>
      <c r="M321" s="16" t="str">
        <f ca="1">IFERROR(__xludf.DUMMYFUNCTION("""COMPUTED_VALUE"""),"SWE")</f>
        <v>SWE</v>
      </c>
      <c r="N321" s="16" t="str">
        <f ca="1">IFERROR(__xludf.DUMMYFUNCTION("""COMPUTED_VALUE"""),"Tonanti")</f>
        <v>Tonanti</v>
      </c>
      <c r="O321" s="8"/>
      <c r="P321" s="8">
        <f ca="1">IFERROR(__xludf.DUMMYFUNCTION("""COMPUTED_VALUE"""),108)</f>
        <v>108</v>
      </c>
      <c r="Q321" s="8">
        <f ca="1">IFERROR(__xludf.DUMMYFUNCTION("""COMPUTED_VALUE"""),8)</f>
        <v>8</v>
      </c>
      <c r="R321" s="8">
        <f ca="1">IFERROR(__xludf.DUMMYFUNCTION("""COMPUTED_VALUE"""),864)</f>
        <v>864</v>
      </c>
      <c r="S321" s="8">
        <f ca="1">IFERROR(__xludf.DUMMYFUNCTION("""COMPUTED_VALUE"""),12.8)</f>
        <v>12.8</v>
      </c>
      <c r="T321" s="8">
        <f ca="1">IFERROR(__xludf.DUMMYFUNCTION("""COMPUTED_VALUE"""),876.8)</f>
        <v>876.8</v>
      </c>
      <c r="U321" s="8"/>
      <c r="V321" s="8"/>
      <c r="W321" s="8"/>
      <c r="X321" s="8"/>
      <c r="Y321" s="8"/>
      <c r="Z321" s="37" t="str">
        <f ca="1">IFERROR(__xludf.DUMMYFUNCTION("""COMPUTED_VALUE"""),"JU382")</f>
        <v>JU382</v>
      </c>
      <c r="AA321" s="37" t="str">
        <f ca="1">IFERROR(__xludf.DUMMYFUNCTION("""COMPUTED_VALUE"""),"27/10/2024")</f>
        <v>27/10/2024</v>
      </c>
      <c r="AB321" s="64">
        <f ca="1">IFERROR(__xludf.DUMMYFUNCTION("""COMPUTED_VALUE"""),0.715277777777777)</f>
        <v>0.71527777777777701</v>
      </c>
    </row>
    <row r="322" spans="1:28" ht="14.55" customHeight="1" x14ac:dyDescent="0.3">
      <c r="A322" s="8">
        <v>30</v>
      </c>
      <c r="B322" s="8"/>
      <c r="C322" s="8"/>
      <c r="D322" s="8" t="str">
        <f ca="1">IFERROR(__xludf.DUMMYFUNCTION("""COMPUTED_VALUE"""),"23/05/2024")</f>
        <v>23/05/2024</v>
      </c>
      <c r="E322" s="16" t="str">
        <f ca="1">IFERROR(__xludf.DUMMYFUNCTION("""COMPUTED_VALUE"""),"Player")</f>
        <v>Player</v>
      </c>
      <c r="F322" s="8" t="str">
        <f ca="1">IFERROR(__xludf.DUMMYFUNCTION("""COMPUTED_VALUE"""),"Seo, Jung Min")</f>
        <v>Seo, Jung Min</v>
      </c>
      <c r="G322" s="16" t="str">
        <f ca="1">IFERROR(__xludf.DUMMYFUNCTION("""COMPUTED_VALUE"""),"SWE")</f>
        <v>SWE</v>
      </c>
      <c r="H322" s="8"/>
      <c r="I322" s="8">
        <f ca="1">IFERROR(__xludf.DUMMYFUNCTION("""COMPUTED_VALUE"""),100)</f>
        <v>100</v>
      </c>
      <c r="J322" s="8"/>
      <c r="K322" s="8"/>
      <c r="L322" s="8" t="str">
        <f ca="1">IFERROR(__xludf.DUMMYFUNCTION("""COMPUTED_VALUE"""),"SK Rockaden")</f>
        <v>SK Rockaden</v>
      </c>
      <c r="M322" s="16" t="str">
        <f ca="1">IFERROR(__xludf.DUMMYFUNCTION("""COMPUTED_VALUE"""),"SWE")</f>
        <v>SWE</v>
      </c>
      <c r="N322" s="16" t="str">
        <f ca="1">IFERROR(__xludf.DUMMYFUNCTION("""COMPUTED_VALUE"""),"Tonanti")</f>
        <v>Tonanti</v>
      </c>
      <c r="O322" s="8" t="str">
        <f ca="1">IFERROR(__xludf.DUMMYFUNCTION("""COMPUTED_VALUE"""),"Woo Eun Jung")</f>
        <v>Woo Eun Jung</v>
      </c>
      <c r="P322" s="8">
        <f ca="1">IFERROR(__xludf.DUMMYFUNCTION("""COMPUTED_VALUE"""),85)</f>
        <v>85</v>
      </c>
      <c r="Q322" s="8">
        <f ca="1">IFERROR(__xludf.DUMMYFUNCTION("""COMPUTED_VALUE"""),8)</f>
        <v>8</v>
      </c>
      <c r="R322" s="8">
        <f ca="1">IFERROR(__xludf.DUMMYFUNCTION("""COMPUTED_VALUE"""),680)</f>
        <v>680</v>
      </c>
      <c r="S322" s="8">
        <f ca="1">IFERROR(__xludf.DUMMYFUNCTION("""COMPUTED_VALUE"""),12.8)</f>
        <v>12.8</v>
      </c>
      <c r="T322" s="8">
        <f ca="1">IFERROR(__xludf.DUMMYFUNCTION("""COMPUTED_VALUE"""),692.8)</f>
        <v>692.8</v>
      </c>
      <c r="U322" s="8"/>
      <c r="V322" s="8"/>
      <c r="W322" s="8"/>
      <c r="X322" s="8"/>
      <c r="Y322" s="8"/>
      <c r="Z322" s="37" t="str">
        <f ca="1">IFERROR(__xludf.DUMMYFUNCTION("""COMPUTED_VALUE"""),"JU382")</f>
        <v>JU382</v>
      </c>
      <c r="AA322" s="37" t="str">
        <f ca="1">IFERROR(__xludf.DUMMYFUNCTION("""COMPUTED_VALUE"""),"27/10/2024")</f>
        <v>27/10/2024</v>
      </c>
      <c r="AB322" s="64">
        <f ca="1">IFERROR(__xludf.DUMMYFUNCTION("""COMPUTED_VALUE"""),0.715277777777777)</f>
        <v>0.71527777777777701</v>
      </c>
    </row>
    <row r="323" spans="1:28" ht="14.55" customHeight="1" x14ac:dyDescent="0.3">
      <c r="A323" s="8">
        <v>31</v>
      </c>
      <c r="B323" s="8"/>
      <c r="C323" s="8"/>
      <c r="D323" s="8" t="str">
        <f ca="1">IFERROR(__xludf.DUMMYFUNCTION("""COMPUTED_VALUE"""),"23/05/2024")</f>
        <v>23/05/2024</v>
      </c>
      <c r="E323" s="16" t="str">
        <f ca="1">IFERROR(__xludf.DUMMYFUNCTION("""COMPUTED_VALUE"""),"Player")</f>
        <v>Player</v>
      </c>
      <c r="F323" s="8" t="str">
        <f ca="1">IFERROR(__xludf.DUMMYFUNCTION("""COMPUTED_VALUE"""),"Sorensen, Hampus")</f>
        <v>Sorensen, Hampus</v>
      </c>
      <c r="G323" s="16" t="str">
        <f ca="1">IFERROR(__xludf.DUMMYFUNCTION("""COMPUTED_VALUE"""),"SWE")</f>
        <v>SWE</v>
      </c>
      <c r="H323" s="8"/>
      <c r="I323" s="8">
        <f ca="1">IFERROR(__xludf.DUMMYFUNCTION("""COMPUTED_VALUE"""),100)</f>
        <v>100</v>
      </c>
      <c r="J323" s="8"/>
      <c r="K323" s="8"/>
      <c r="L323" s="8" t="str">
        <f ca="1">IFERROR(__xludf.DUMMYFUNCTION("""COMPUTED_VALUE"""),"SK Rockaden")</f>
        <v>SK Rockaden</v>
      </c>
      <c r="M323" s="16" t="str">
        <f ca="1">IFERROR(__xludf.DUMMYFUNCTION("""COMPUTED_VALUE"""),"SWE")</f>
        <v>SWE</v>
      </c>
      <c r="N323" s="16" t="str">
        <f ca="1">IFERROR(__xludf.DUMMYFUNCTION("""COMPUTED_VALUE"""),"Tonanti")</f>
        <v>Tonanti</v>
      </c>
      <c r="O323" s="8"/>
      <c r="P323" s="8">
        <f ca="1">IFERROR(__xludf.DUMMYFUNCTION("""COMPUTED_VALUE"""),108)</f>
        <v>108</v>
      </c>
      <c r="Q323" s="8">
        <f ca="1">IFERROR(__xludf.DUMMYFUNCTION("""COMPUTED_VALUE"""),8)</f>
        <v>8</v>
      </c>
      <c r="R323" s="8">
        <f ca="1">IFERROR(__xludf.DUMMYFUNCTION("""COMPUTED_VALUE"""),864)</f>
        <v>864</v>
      </c>
      <c r="S323" s="8">
        <f ca="1">IFERROR(__xludf.DUMMYFUNCTION("""COMPUTED_VALUE"""),12.8)</f>
        <v>12.8</v>
      </c>
      <c r="T323" s="8">
        <f ca="1">IFERROR(__xludf.DUMMYFUNCTION("""COMPUTED_VALUE"""),876.8)</f>
        <v>876.8</v>
      </c>
      <c r="U323" s="8"/>
      <c r="V323" s="8"/>
      <c r="W323" s="8"/>
      <c r="X323" s="8"/>
      <c r="Y323" s="8"/>
      <c r="Z323" s="37" t="str">
        <f ca="1">IFERROR(__xludf.DUMMYFUNCTION("""COMPUTED_VALUE"""),"JU382")</f>
        <v>JU382</v>
      </c>
      <c r="AA323" s="37" t="str">
        <f ca="1">IFERROR(__xludf.DUMMYFUNCTION("""COMPUTED_VALUE"""),"27/10/2024")</f>
        <v>27/10/2024</v>
      </c>
      <c r="AB323" s="64">
        <f ca="1">IFERROR(__xludf.DUMMYFUNCTION("""COMPUTED_VALUE"""),0.715277777777777)</f>
        <v>0.71527777777777701</v>
      </c>
    </row>
    <row r="324" spans="1:28" ht="14.55" customHeight="1" x14ac:dyDescent="0.3">
      <c r="A324" s="8">
        <v>32</v>
      </c>
      <c r="B324" s="8"/>
      <c r="C324" s="8"/>
      <c r="D324" s="8" t="str">
        <f ca="1">IFERROR(__xludf.DUMMYFUNCTION("""COMPUTED_VALUE"""),"23/05/2024")</f>
        <v>23/05/2024</v>
      </c>
      <c r="E324" s="16" t="str">
        <f ca="1">IFERROR(__xludf.DUMMYFUNCTION("""COMPUTED_VALUE"""),"Player")</f>
        <v>Player</v>
      </c>
      <c r="F324" s="8" t="str">
        <f ca="1">IFERROR(__xludf.DUMMYFUNCTION("""COMPUTED_VALUE"""),"Trost, Edvin")</f>
        <v>Trost, Edvin</v>
      </c>
      <c r="G324" s="16" t="str">
        <f ca="1">IFERROR(__xludf.DUMMYFUNCTION("""COMPUTED_VALUE"""),"SWE")</f>
        <v>SWE</v>
      </c>
      <c r="H324" s="8"/>
      <c r="I324" s="8">
        <f ca="1">IFERROR(__xludf.DUMMYFUNCTION("""COMPUTED_VALUE"""),100)</f>
        <v>100</v>
      </c>
      <c r="J324" s="8"/>
      <c r="K324" s="8"/>
      <c r="L324" s="8" t="str">
        <f ca="1">IFERROR(__xludf.DUMMYFUNCTION("""COMPUTED_VALUE"""),"SK Rockaden")</f>
        <v>SK Rockaden</v>
      </c>
      <c r="M324" s="16" t="str">
        <f ca="1">IFERROR(__xludf.DUMMYFUNCTION("""COMPUTED_VALUE"""),"SWE")</f>
        <v>SWE</v>
      </c>
      <c r="N324" s="16" t="str">
        <f ca="1">IFERROR(__xludf.DUMMYFUNCTION("""COMPUTED_VALUE"""),"Tonanti")</f>
        <v>Tonanti</v>
      </c>
      <c r="O324" s="8"/>
      <c r="P324" s="8">
        <f ca="1">IFERROR(__xludf.DUMMYFUNCTION("""COMPUTED_VALUE"""),108)</f>
        <v>108</v>
      </c>
      <c r="Q324" s="8">
        <f ca="1">IFERROR(__xludf.DUMMYFUNCTION("""COMPUTED_VALUE"""),8)</f>
        <v>8</v>
      </c>
      <c r="R324" s="8">
        <f ca="1">IFERROR(__xludf.DUMMYFUNCTION("""COMPUTED_VALUE"""),864)</f>
        <v>864</v>
      </c>
      <c r="S324" s="8">
        <f ca="1">IFERROR(__xludf.DUMMYFUNCTION("""COMPUTED_VALUE"""),12.8)</f>
        <v>12.8</v>
      </c>
      <c r="T324" s="8">
        <f ca="1">IFERROR(__xludf.DUMMYFUNCTION("""COMPUTED_VALUE"""),876.8)</f>
        <v>876.8</v>
      </c>
      <c r="U324" s="8"/>
      <c r="V324" s="8"/>
      <c r="W324" s="8"/>
      <c r="X324" s="8"/>
      <c r="Y324" s="8"/>
      <c r="Z324" s="37" t="str">
        <f ca="1">IFERROR(__xludf.DUMMYFUNCTION("""COMPUTED_VALUE"""),"JU382")</f>
        <v>JU382</v>
      </c>
      <c r="AA324" s="37" t="str">
        <f ca="1">IFERROR(__xludf.DUMMYFUNCTION("""COMPUTED_VALUE"""),"27/10/2024")</f>
        <v>27/10/2024</v>
      </c>
      <c r="AB324" s="64">
        <f ca="1">IFERROR(__xludf.DUMMYFUNCTION("""COMPUTED_VALUE"""),0.715277777777777)</f>
        <v>0.71527777777777701</v>
      </c>
    </row>
    <row r="325" spans="1:28" ht="14.55" customHeight="1" x14ac:dyDescent="0.3">
      <c r="A325" s="8">
        <v>33</v>
      </c>
      <c r="B325" s="8"/>
      <c r="C325" s="8"/>
      <c r="D325" s="8" t="str">
        <f ca="1">IFERROR(__xludf.DUMMYFUNCTION("""COMPUTED_VALUE"""),"23/05/2024")</f>
        <v>23/05/2024</v>
      </c>
      <c r="E325" s="16" t="str">
        <f ca="1">IFERROR(__xludf.DUMMYFUNCTION("""COMPUTED_VALUE"""),"Player")</f>
        <v>Player</v>
      </c>
      <c r="F325" s="8" t="str">
        <f ca="1">IFERROR(__xludf.DUMMYFUNCTION("""COMPUTED_VALUE"""),"Barkhagen, Jonas")</f>
        <v>Barkhagen, Jonas</v>
      </c>
      <c r="G325" s="16" t="str">
        <f ca="1">IFERROR(__xludf.DUMMYFUNCTION("""COMPUTED_VALUE"""),"SWE")</f>
        <v>SWE</v>
      </c>
      <c r="H325" s="8"/>
      <c r="I325" s="8">
        <f ca="1">IFERROR(__xludf.DUMMYFUNCTION("""COMPUTED_VALUE"""),100)</f>
        <v>100</v>
      </c>
      <c r="J325" s="8"/>
      <c r="K325" s="8"/>
      <c r="L325" s="8" t="str">
        <f ca="1">IFERROR(__xludf.DUMMYFUNCTION("""COMPUTED_VALUE"""),"SK Rockaden")</f>
        <v>SK Rockaden</v>
      </c>
      <c r="M325" s="16" t="str">
        <f ca="1">IFERROR(__xludf.DUMMYFUNCTION("""COMPUTED_VALUE"""),"SWE")</f>
        <v>SWE</v>
      </c>
      <c r="N325" s="16" t="str">
        <f ca="1">IFERROR(__xludf.DUMMYFUNCTION("""COMPUTED_VALUE"""),"Tonanti")</f>
        <v>Tonanti</v>
      </c>
      <c r="O325" s="8"/>
      <c r="P325" s="8">
        <f ca="1">IFERROR(__xludf.DUMMYFUNCTION("""COMPUTED_VALUE"""),108)</f>
        <v>108</v>
      </c>
      <c r="Q325" s="8">
        <f ca="1">IFERROR(__xludf.DUMMYFUNCTION("""COMPUTED_VALUE"""),8)</f>
        <v>8</v>
      </c>
      <c r="R325" s="8">
        <f ca="1">IFERROR(__xludf.DUMMYFUNCTION("""COMPUTED_VALUE"""),864)</f>
        <v>864</v>
      </c>
      <c r="S325" s="8">
        <f ca="1">IFERROR(__xludf.DUMMYFUNCTION("""COMPUTED_VALUE"""),12.8)</f>
        <v>12.8</v>
      </c>
      <c r="T325" s="8">
        <f ca="1">IFERROR(__xludf.DUMMYFUNCTION("""COMPUTED_VALUE"""),876.8)</f>
        <v>876.8</v>
      </c>
      <c r="U325" s="8"/>
      <c r="V325" s="8"/>
      <c r="W325" s="8"/>
      <c r="X325" s="8"/>
      <c r="Y325" s="8"/>
      <c r="Z325" s="37" t="str">
        <f ca="1">IFERROR(__xludf.DUMMYFUNCTION("""COMPUTED_VALUE"""),"JU382")</f>
        <v>JU382</v>
      </c>
      <c r="AA325" s="37" t="str">
        <f ca="1">IFERROR(__xludf.DUMMYFUNCTION("""COMPUTED_VALUE"""),"27/10/2024")</f>
        <v>27/10/2024</v>
      </c>
      <c r="AB325" s="64">
        <f ca="1">IFERROR(__xludf.DUMMYFUNCTION("""COMPUTED_VALUE"""),0.715277777777777)</f>
        <v>0.71527777777777701</v>
      </c>
    </row>
    <row r="326" spans="1:28" ht="14.55" customHeight="1" x14ac:dyDescent="0.3">
      <c r="A326" s="8">
        <v>34</v>
      </c>
      <c r="B326" s="8"/>
      <c r="C326" s="8"/>
      <c r="D326" s="8" t="str">
        <f ca="1">IFERROR(__xludf.DUMMYFUNCTION("""COMPUTED_VALUE"""),"23/05/2024")</f>
        <v>23/05/2024</v>
      </c>
      <c r="E326" s="16" t="str">
        <f ca="1">IFERROR(__xludf.DUMMYFUNCTION("""COMPUTED_VALUE"""),"Player")</f>
        <v>Player</v>
      </c>
      <c r="F326" s="8" t="str">
        <f ca="1">IFERROR(__xludf.DUMMYFUNCTION("""COMPUTED_VALUE"""),"Kenneskog, Theodor")</f>
        <v>Kenneskog, Theodor</v>
      </c>
      <c r="G326" s="16" t="str">
        <f ca="1">IFERROR(__xludf.DUMMYFUNCTION("""COMPUTED_VALUE"""),"SWE")</f>
        <v>SWE</v>
      </c>
      <c r="H326" s="8"/>
      <c r="I326" s="8">
        <f ca="1">IFERROR(__xludf.DUMMYFUNCTION("""COMPUTED_VALUE"""),100)</f>
        <v>100</v>
      </c>
      <c r="J326" s="8"/>
      <c r="K326" s="8"/>
      <c r="L326" s="8" t="str">
        <f ca="1">IFERROR(__xludf.DUMMYFUNCTION("""COMPUTED_VALUE"""),"SK Rockaden")</f>
        <v>SK Rockaden</v>
      </c>
      <c r="M326" s="16" t="str">
        <f ca="1">IFERROR(__xludf.DUMMYFUNCTION("""COMPUTED_VALUE"""),"SWE")</f>
        <v>SWE</v>
      </c>
      <c r="N326" s="16" t="str">
        <f ca="1">IFERROR(__xludf.DUMMYFUNCTION("""COMPUTED_VALUE"""),"Tonanti")</f>
        <v>Tonanti</v>
      </c>
      <c r="O326" s="8"/>
      <c r="P326" s="8">
        <f ca="1">IFERROR(__xludf.DUMMYFUNCTION("""COMPUTED_VALUE"""),108)</f>
        <v>108</v>
      </c>
      <c r="Q326" s="8">
        <f ca="1">IFERROR(__xludf.DUMMYFUNCTION("""COMPUTED_VALUE"""),8)</f>
        <v>8</v>
      </c>
      <c r="R326" s="8">
        <f ca="1">IFERROR(__xludf.DUMMYFUNCTION("""COMPUTED_VALUE"""),864)</f>
        <v>864</v>
      </c>
      <c r="S326" s="8">
        <f ca="1">IFERROR(__xludf.DUMMYFUNCTION("""COMPUTED_VALUE"""),12.8)</f>
        <v>12.8</v>
      </c>
      <c r="T326" s="8">
        <f ca="1">IFERROR(__xludf.DUMMYFUNCTION("""COMPUTED_VALUE"""),876.8)</f>
        <v>876.8</v>
      </c>
      <c r="U326" s="8"/>
      <c r="V326" s="8"/>
      <c r="W326" s="8"/>
      <c r="X326" s="8"/>
      <c r="Y326" s="8"/>
      <c r="Z326" s="37" t="str">
        <f ca="1">IFERROR(__xludf.DUMMYFUNCTION("""COMPUTED_VALUE"""),"JU382")</f>
        <v>JU382</v>
      </c>
      <c r="AA326" s="37" t="str">
        <f ca="1">IFERROR(__xludf.DUMMYFUNCTION("""COMPUTED_VALUE"""),"27/10/2024")</f>
        <v>27/10/2024</v>
      </c>
      <c r="AB326" s="64">
        <f ca="1">IFERROR(__xludf.DUMMYFUNCTION("""COMPUTED_VALUE"""),0.715277777777777)</f>
        <v>0.71527777777777701</v>
      </c>
    </row>
    <row r="327" spans="1:28" ht="14.55" customHeight="1" x14ac:dyDescent="0.3">
      <c r="A327" s="8">
        <v>35</v>
      </c>
      <c r="B327" s="8"/>
      <c r="C327" s="8"/>
      <c r="D327" s="8" t="str">
        <f ca="1">IFERROR(__xludf.DUMMYFUNCTION("""COMPUTED_VALUE"""),"23/05/2024")</f>
        <v>23/05/2024</v>
      </c>
      <c r="E327" s="16" t="s">
        <v>0</v>
      </c>
      <c r="F327" s="8" t="str">
        <f ca="1">IFERROR(__xludf.DUMMYFUNCTION("""COMPUTED_VALUE"""),"Woo, Eun Jung")</f>
        <v>Woo, Eun Jung</v>
      </c>
      <c r="G327" s="16" t="str">
        <f ca="1">IFERROR(__xludf.DUMMYFUNCTION("""COMPUTED_VALUE"""),"SWE")</f>
        <v>SWE</v>
      </c>
      <c r="H327" s="8"/>
      <c r="I327" s="8">
        <f ca="1">IFERROR(__xludf.DUMMYFUNCTION("""COMPUTED_VALUE"""),100)</f>
        <v>100</v>
      </c>
      <c r="J327" s="8"/>
      <c r="K327" s="8"/>
      <c r="L327" s="8" t="str">
        <f ca="1">IFERROR(__xludf.DUMMYFUNCTION("""COMPUTED_VALUE"""),"SK Rockaden")</f>
        <v>SK Rockaden</v>
      </c>
      <c r="M327" s="16" t="str">
        <f ca="1">IFERROR(__xludf.DUMMYFUNCTION("""COMPUTED_VALUE"""),"SWE")</f>
        <v>SWE</v>
      </c>
      <c r="N327" s="16" t="str">
        <f ca="1">IFERROR(__xludf.DUMMYFUNCTION("""COMPUTED_VALUE"""),"Tonanti")</f>
        <v>Tonanti</v>
      </c>
      <c r="O327" s="8" t="str">
        <f ca="1">IFERROR(__xludf.DUMMYFUNCTION("""COMPUTED_VALUE"""),"Seo JungMin")</f>
        <v>Seo JungMin</v>
      </c>
      <c r="P327" s="8">
        <f ca="1">IFERROR(__xludf.DUMMYFUNCTION("""COMPUTED_VALUE"""),85)</f>
        <v>85</v>
      </c>
      <c r="Q327" s="8">
        <f ca="1">IFERROR(__xludf.DUMMYFUNCTION("""COMPUTED_VALUE"""),8)</f>
        <v>8</v>
      </c>
      <c r="R327" s="8">
        <f ca="1">IFERROR(__xludf.DUMMYFUNCTION("""COMPUTED_VALUE"""),680)</f>
        <v>680</v>
      </c>
      <c r="S327" s="8">
        <f ca="1">IFERROR(__xludf.DUMMYFUNCTION("""COMPUTED_VALUE"""),12.8)</f>
        <v>12.8</v>
      </c>
      <c r="T327" s="8">
        <f ca="1">IFERROR(__xludf.DUMMYFUNCTION("""COMPUTED_VALUE"""),692.8)</f>
        <v>692.8</v>
      </c>
      <c r="U327" s="8"/>
      <c r="V327" s="8"/>
      <c r="W327" s="8"/>
      <c r="X327" s="8"/>
      <c r="Y327" s="8"/>
      <c r="Z327" s="37" t="str">
        <f ca="1">IFERROR(__xludf.DUMMYFUNCTION("""COMPUTED_VALUE"""),"JU382")</f>
        <v>JU382</v>
      </c>
      <c r="AA327" s="37" t="str">
        <f ca="1">IFERROR(__xludf.DUMMYFUNCTION("""COMPUTED_VALUE"""),"27/10/2024")</f>
        <v>27/10/2024</v>
      </c>
      <c r="AB327" s="64">
        <f ca="1">IFERROR(__xludf.DUMMYFUNCTION("""COMPUTED_VALUE"""),0.715277777777777)</f>
        <v>0.71527777777777701</v>
      </c>
    </row>
    <row r="328" spans="1:28" ht="14.55" customHeight="1" x14ac:dyDescent="0.3">
      <c r="A328" s="8">
        <v>36</v>
      </c>
      <c r="B328" s="8"/>
      <c r="C328" s="8"/>
      <c r="D328" s="13">
        <f ca="1">IFERROR(__xludf.DUMMYFUNCTION("""COMPUTED_VALUE"""),45572)</f>
        <v>45572</v>
      </c>
      <c r="E328" s="16" t="str">
        <f ca="1">IFERROR(__xludf.DUMMYFUNCTION("""COMPUTED_VALUE"""),"Player")</f>
        <v>Player</v>
      </c>
      <c r="F328" s="8" t="str">
        <f ca="1">IFERROR(__xludf.DUMMYFUNCTION("""COMPUTED_VALUE"""),"Graham, David B")</f>
        <v>Graham, David B</v>
      </c>
      <c r="G328" s="16" t="str">
        <f ca="1">IFERROR(__xludf.DUMMYFUNCTION("""COMPUTED_VALUE"""),"ENG")</f>
        <v>ENG</v>
      </c>
      <c r="H328" s="8"/>
      <c r="I328" s="8">
        <f ca="1">IFERROR(__xludf.DUMMYFUNCTION("""COMPUTED_VALUE"""),100)</f>
        <v>100</v>
      </c>
      <c r="J328" s="8"/>
      <c r="K328" s="8"/>
      <c r="L328" s="8" t="str">
        <f ca="1">IFERROR(__xludf.DUMMYFUNCTION("""COMPUTED_VALUE"""),"Sussex Martlets")</f>
        <v>Sussex Martlets</v>
      </c>
      <c r="M328" s="16" t="str">
        <f ca="1">IFERROR(__xludf.DUMMYFUNCTION("""COMPUTED_VALUE"""),"ENG")</f>
        <v>ENG</v>
      </c>
      <c r="N328" s="16" t="str">
        <f ca="1">IFERROR(__xludf.DUMMYFUNCTION("""COMPUTED_VALUE"""),"Tonanti")</f>
        <v>Tonanti</v>
      </c>
      <c r="O328" s="8"/>
      <c r="P328" s="8">
        <f ca="1">IFERROR(__xludf.DUMMYFUNCTION("""COMPUTED_VALUE"""),108)</f>
        <v>108</v>
      </c>
      <c r="Q328" s="8">
        <f ca="1">IFERROR(__xludf.DUMMYFUNCTION("""COMPUTED_VALUE"""),9)</f>
        <v>9</v>
      </c>
      <c r="R328" s="8">
        <f ca="1">IFERROR(__xludf.DUMMYFUNCTION("""COMPUTED_VALUE"""),972)</f>
        <v>972</v>
      </c>
      <c r="S328" s="8">
        <f ca="1">IFERROR(__xludf.DUMMYFUNCTION("""COMPUTED_VALUE"""),14.4)</f>
        <v>14.4</v>
      </c>
      <c r="T328" s="8">
        <f ca="1">IFERROR(__xludf.DUMMYFUNCTION("""COMPUTED_VALUE"""),986.4)</f>
        <v>986.4</v>
      </c>
      <c r="U328" s="8"/>
      <c r="V328" s="8"/>
      <c r="W328" s="8" t="str">
        <f ca="1">IFERROR(__xludf.DUMMYFUNCTION("""COMPUTED_VALUE"""),"YES")</f>
        <v>YES</v>
      </c>
      <c r="X328" s="8"/>
      <c r="Y328" s="8"/>
      <c r="Z328" s="37" t="str">
        <f ca="1">IFERROR(__xludf.DUMMYFUNCTION("""COMPUTED_VALUE"""),"LH1737")</f>
        <v>LH1737</v>
      </c>
      <c r="AA328" s="37" t="str">
        <f ca="1">IFERROR(__xludf.DUMMYFUNCTION("""COMPUTED_VALUE"""),"27/10/2024")</f>
        <v>27/10/2024</v>
      </c>
      <c r="AB328" s="64">
        <f ca="1">IFERROR(__xludf.DUMMYFUNCTION("""COMPUTED_VALUE"""),0.715277777777777)</f>
        <v>0.71527777777777701</v>
      </c>
    </row>
    <row r="329" spans="1:28" ht="14.55" customHeight="1" x14ac:dyDescent="0.3">
      <c r="A329" s="8">
        <v>37</v>
      </c>
      <c r="B329" s="8"/>
      <c r="C329" s="8"/>
      <c r="D329" s="13">
        <f ca="1">IFERROR(__xludf.DUMMYFUNCTION("""COMPUTED_VALUE"""),45572)</f>
        <v>45572</v>
      </c>
      <c r="E329" s="16" t="str">
        <f ca="1">IFERROR(__xludf.DUMMYFUNCTION("""COMPUTED_VALUE"""),"Player")</f>
        <v>Player</v>
      </c>
      <c r="F329" s="8" t="str">
        <f ca="1">IFERROR(__xludf.DUMMYFUNCTION("""COMPUTED_VALUE"""),"Blake, J Morgan")</f>
        <v>Blake, J Morgan</v>
      </c>
      <c r="G329" s="16" t="str">
        <f ca="1">IFERROR(__xludf.DUMMYFUNCTION("""COMPUTED_VALUE"""),"ENG")</f>
        <v>ENG</v>
      </c>
      <c r="H329" s="8"/>
      <c r="I329" s="8">
        <f ca="1">IFERROR(__xludf.DUMMYFUNCTION("""COMPUTED_VALUE"""),100)</f>
        <v>100</v>
      </c>
      <c r="J329" s="8"/>
      <c r="K329" s="8"/>
      <c r="L329" s="8" t="str">
        <f ca="1">IFERROR(__xludf.DUMMYFUNCTION("""COMPUTED_VALUE"""),"Sussex Martlets")</f>
        <v>Sussex Martlets</v>
      </c>
      <c r="M329" s="16" t="str">
        <f ca="1">IFERROR(__xludf.DUMMYFUNCTION("""COMPUTED_VALUE"""),"ENG")</f>
        <v>ENG</v>
      </c>
      <c r="N329" s="16" t="str">
        <f ca="1">IFERROR(__xludf.DUMMYFUNCTION("""COMPUTED_VALUE"""),"Tonanti")</f>
        <v>Tonanti</v>
      </c>
      <c r="O329" s="8"/>
      <c r="P329" s="8">
        <f ca="1">IFERROR(__xludf.DUMMYFUNCTION("""COMPUTED_VALUE"""),108)</f>
        <v>108</v>
      </c>
      <c r="Q329" s="8">
        <f ca="1">IFERROR(__xludf.DUMMYFUNCTION("""COMPUTED_VALUE"""),8)</f>
        <v>8</v>
      </c>
      <c r="R329" s="8">
        <f ca="1">IFERROR(__xludf.DUMMYFUNCTION("""COMPUTED_VALUE"""),864)</f>
        <v>864</v>
      </c>
      <c r="S329" s="8">
        <f ca="1">IFERROR(__xludf.DUMMYFUNCTION("""COMPUTED_VALUE"""),12.8)</f>
        <v>12.8</v>
      </c>
      <c r="T329" s="8">
        <f ca="1">IFERROR(__xludf.DUMMYFUNCTION("""COMPUTED_VALUE"""),876.8)</f>
        <v>876.8</v>
      </c>
      <c r="U329" s="8"/>
      <c r="V329" s="8"/>
      <c r="W329" s="8" t="str">
        <f ca="1">IFERROR(__xludf.DUMMYFUNCTION("""COMPUTED_VALUE"""),"YES")</f>
        <v>YES</v>
      </c>
      <c r="X329" s="8"/>
      <c r="Y329" s="8"/>
      <c r="Z329" s="37" t="str">
        <f ca="1">IFERROR(__xludf.DUMMYFUNCTION("""COMPUTED_VALUE"""),"LH1737")</f>
        <v>LH1737</v>
      </c>
      <c r="AA329" s="37" t="str">
        <f ca="1">IFERROR(__xludf.DUMMYFUNCTION("""COMPUTED_VALUE"""),"27/10/2024")</f>
        <v>27/10/2024</v>
      </c>
      <c r="AB329" s="64">
        <f ca="1">IFERROR(__xludf.DUMMYFUNCTION("""COMPUTED_VALUE"""),0.715277777777777)</f>
        <v>0.71527777777777701</v>
      </c>
    </row>
    <row r="330" spans="1:28" ht="14.55" customHeight="1" x14ac:dyDescent="0.3">
      <c r="A330" s="8">
        <v>38</v>
      </c>
      <c r="B330" s="8"/>
      <c r="C330" s="8"/>
      <c r="D330" s="13">
        <f ca="1">IFERROR(__xludf.DUMMYFUNCTION("""COMPUTED_VALUE"""),45634)</f>
        <v>45634</v>
      </c>
      <c r="E330" s="16" t="str">
        <f ca="1">IFERROR(__xludf.DUMMYFUNCTION("""COMPUTED_VALUE"""),"Player")</f>
        <v>Player</v>
      </c>
      <c r="F330" s="8" t="str">
        <f ca="1">IFERROR(__xludf.DUMMYFUNCTION("""COMPUTED_VALUE"""),"Hjartarson, Johann")</f>
        <v>Hjartarson, Johann</v>
      </c>
      <c r="G330" s="16" t="str">
        <f ca="1">IFERROR(__xludf.DUMMYFUNCTION("""COMPUTED_VALUE"""),"ISL")</f>
        <v>ISL</v>
      </c>
      <c r="H330" s="8"/>
      <c r="I330" s="8">
        <f ca="1">IFERROR(__xludf.DUMMYFUNCTION("""COMPUTED_VALUE"""),100)</f>
        <v>100</v>
      </c>
      <c r="J330" s="8"/>
      <c r="K330" s="8"/>
      <c r="L330" s="8" t="str">
        <f ca="1">IFERROR(__xludf.DUMMYFUNCTION("""COMPUTED_VALUE"""),"Viking Club")</f>
        <v>Viking Club</v>
      </c>
      <c r="M330" s="16" t="str">
        <f ca="1">IFERROR(__xludf.DUMMYFUNCTION("""COMPUTED_VALUE"""),"ISL")</f>
        <v>ISL</v>
      </c>
      <c r="N330" s="16" t="str">
        <f ca="1">IFERROR(__xludf.DUMMYFUNCTION("""COMPUTED_VALUE"""),"Fontana")</f>
        <v>Fontana</v>
      </c>
      <c r="O330" s="8"/>
      <c r="P330" s="8">
        <f ca="1">IFERROR(__xludf.DUMMYFUNCTION("""COMPUTED_VALUE"""),104)</f>
        <v>104</v>
      </c>
      <c r="Q330" s="8">
        <f ca="1">IFERROR(__xludf.DUMMYFUNCTION("""COMPUTED_VALUE"""),8)</f>
        <v>8</v>
      </c>
      <c r="R330" s="8">
        <f ca="1">IFERROR(__xludf.DUMMYFUNCTION("""COMPUTED_VALUE"""),832)</f>
        <v>832</v>
      </c>
      <c r="S330" s="8">
        <f ca="1">IFERROR(__xludf.DUMMYFUNCTION("""COMPUTED_VALUE"""),12.8)</f>
        <v>12.8</v>
      </c>
      <c r="T330" s="8">
        <f ca="1">IFERROR(__xludf.DUMMYFUNCTION("""COMPUTED_VALUE"""),844.8)</f>
        <v>844.8</v>
      </c>
      <c r="U330" s="8"/>
      <c r="V330" s="8"/>
      <c r="W330" s="8"/>
      <c r="X330" s="8"/>
      <c r="Y330" s="8"/>
      <c r="Z330" s="57" t="str">
        <f ca="1">IFERROR(__xludf.DUMMYFUNCTION("""COMPUTED_VALUE"""),"JU382")</f>
        <v>JU382</v>
      </c>
      <c r="AA330" s="37" t="str">
        <f ca="1">IFERROR(__xludf.DUMMYFUNCTION("""COMPUTED_VALUE"""),"27/10/2024")</f>
        <v>27/10/2024</v>
      </c>
      <c r="AB330" s="64">
        <f ca="1">IFERROR(__xludf.DUMMYFUNCTION("""COMPUTED_VALUE"""),0.715277777777777)</f>
        <v>0.71527777777777701</v>
      </c>
    </row>
    <row r="331" spans="1:28" ht="14.55" customHeight="1" x14ac:dyDescent="0.3">
      <c r="A331" s="8">
        <v>39</v>
      </c>
      <c r="B331" s="8"/>
      <c r="C331" s="8"/>
      <c r="D331" s="13">
        <f ca="1">IFERROR(__xludf.DUMMYFUNCTION("""COMPUTED_VALUE"""),45634)</f>
        <v>45634</v>
      </c>
      <c r="E331" s="16" t="str">
        <f ca="1">IFERROR(__xludf.DUMMYFUNCTION("""COMPUTED_VALUE"""),"Player")</f>
        <v>Player</v>
      </c>
      <c r="F331" s="8" t="str">
        <f ca="1">IFERROR(__xludf.DUMMYFUNCTION("""COMPUTED_VALUE"""),"Sigurpalsson, Runar")</f>
        <v>Sigurpalsson, Runar</v>
      </c>
      <c r="G331" s="16" t="str">
        <f ca="1">IFERROR(__xludf.DUMMYFUNCTION("""COMPUTED_VALUE"""),"ISL")</f>
        <v>ISL</v>
      </c>
      <c r="H331" s="8"/>
      <c r="I331" s="8">
        <f ca="1">IFERROR(__xludf.DUMMYFUNCTION("""COMPUTED_VALUE"""),100)</f>
        <v>100</v>
      </c>
      <c r="J331" s="8"/>
      <c r="K331" s="8"/>
      <c r="L331" s="8" t="str">
        <f ca="1">IFERROR(__xludf.DUMMYFUNCTION("""COMPUTED_VALUE"""),"Viking Club")</f>
        <v>Viking Club</v>
      </c>
      <c r="M331" s="16" t="str">
        <f ca="1">IFERROR(__xludf.DUMMYFUNCTION("""COMPUTED_VALUE"""),"ISL")</f>
        <v>ISL</v>
      </c>
      <c r="N331" s="16" t="str">
        <f ca="1">IFERROR(__xludf.DUMMYFUNCTION("""COMPUTED_VALUE"""),"Fontana")</f>
        <v>Fontana</v>
      </c>
      <c r="O331" s="8"/>
      <c r="P331" s="8">
        <f ca="1">IFERROR(__xludf.DUMMYFUNCTION("""COMPUTED_VALUE"""),104)</f>
        <v>104</v>
      </c>
      <c r="Q331" s="8">
        <f ca="1">IFERROR(__xludf.DUMMYFUNCTION("""COMPUTED_VALUE"""),8)</f>
        <v>8</v>
      </c>
      <c r="R331" s="8">
        <f ca="1">IFERROR(__xludf.DUMMYFUNCTION("""COMPUTED_VALUE"""),832)</f>
        <v>832</v>
      </c>
      <c r="S331" s="8">
        <f ca="1">IFERROR(__xludf.DUMMYFUNCTION("""COMPUTED_VALUE"""),12.8)</f>
        <v>12.8</v>
      </c>
      <c r="T331" s="8">
        <f ca="1">IFERROR(__xludf.DUMMYFUNCTION("""COMPUTED_VALUE"""),844.8)</f>
        <v>844.8</v>
      </c>
      <c r="U331" s="8"/>
      <c r="V331" s="8"/>
      <c r="W331" s="8"/>
      <c r="X331" s="8"/>
      <c r="Y331" s="8"/>
      <c r="Z331" s="57" t="str">
        <f ca="1">IFERROR(__xludf.DUMMYFUNCTION("""COMPUTED_VALUE"""),"JU382")</f>
        <v>JU382</v>
      </c>
      <c r="AA331" s="37" t="str">
        <f ca="1">IFERROR(__xludf.DUMMYFUNCTION("""COMPUTED_VALUE"""),"27/10/2024")</f>
        <v>27/10/2024</v>
      </c>
      <c r="AB331" s="64">
        <f ca="1">IFERROR(__xludf.DUMMYFUNCTION("""COMPUTED_VALUE"""),0.715277777777777)</f>
        <v>0.71527777777777701</v>
      </c>
    </row>
    <row r="332" spans="1:28" ht="14.55" customHeight="1" x14ac:dyDescent="0.3">
      <c r="A332" s="8">
        <v>40</v>
      </c>
      <c r="B332" s="8"/>
      <c r="C332" s="8"/>
      <c r="D332" s="8" t="str">
        <f ca="1">IFERROR(__xludf.DUMMYFUNCTION("""COMPUTED_VALUE"""),"14/08/2024")</f>
        <v>14/08/2024</v>
      </c>
      <c r="E332" s="16" t="str">
        <f ca="1">IFERROR(__xludf.DUMMYFUNCTION("""COMPUTED_VALUE"""),"Player")</f>
        <v>Player</v>
      </c>
      <c r="F332" s="8" t="str">
        <f ca="1">IFERROR(__xludf.DUMMYFUNCTION("""COMPUTED_VALUE"""),"Ostlund, Joar")</f>
        <v>Ostlund, Joar</v>
      </c>
      <c r="G332" s="16" t="str">
        <f ca="1">IFERROR(__xludf.DUMMYFUNCTION("""COMPUTED_VALUE"""),"SWE")</f>
        <v>SWE</v>
      </c>
      <c r="H332" s="8"/>
      <c r="I332" s="8">
        <f ca="1">IFERROR(__xludf.DUMMYFUNCTION("""COMPUTED_VALUE"""),100)</f>
        <v>100</v>
      </c>
      <c r="J332" s="8"/>
      <c r="K332" s="8"/>
      <c r="L332" s="8" t="str">
        <f ca="1">IFERROR(__xludf.DUMMYFUNCTION("""COMPUTED_VALUE"""),"Wasa SK")</f>
        <v>Wasa SK</v>
      </c>
      <c r="M332" s="16" t="str">
        <f ca="1">IFERROR(__xludf.DUMMYFUNCTION("""COMPUTED_VALUE"""),"SWE")</f>
        <v>SWE</v>
      </c>
      <c r="N332" s="16" t="str">
        <f ca="1">IFERROR(__xludf.DUMMYFUNCTION("""COMPUTED_VALUE"""),"Zepter")</f>
        <v>Zepter</v>
      </c>
      <c r="O332" s="8"/>
      <c r="P332" s="8">
        <f ca="1">IFERROR(__xludf.DUMMYFUNCTION("""COMPUTED_VALUE"""),104)</f>
        <v>104</v>
      </c>
      <c r="Q332" s="8">
        <f ca="1">IFERROR(__xludf.DUMMYFUNCTION("""COMPUTED_VALUE"""),8)</f>
        <v>8</v>
      </c>
      <c r="R332" s="8">
        <f ca="1">IFERROR(__xludf.DUMMYFUNCTION("""COMPUTED_VALUE"""),832)</f>
        <v>832</v>
      </c>
      <c r="S332" s="8">
        <f ca="1">IFERROR(__xludf.DUMMYFUNCTION("""COMPUTED_VALUE"""),12.8)</f>
        <v>12.8</v>
      </c>
      <c r="T332" s="8">
        <f ca="1">IFERROR(__xludf.DUMMYFUNCTION("""COMPUTED_VALUE"""),844.8)</f>
        <v>844.8</v>
      </c>
      <c r="U332" s="8"/>
      <c r="V332" s="8"/>
      <c r="W332" s="8"/>
      <c r="X332" s="8" t="str">
        <f ca="1">IFERROR(__xludf.DUMMYFUNCTION("""COMPUTED_VALUE"""),"Tonanti ili Fontana")</f>
        <v>Tonanti ili Fontana</v>
      </c>
      <c r="Y332" s="8"/>
      <c r="Z332" s="37" t="str">
        <f ca="1">IFERROR(__xludf.DUMMYFUNCTION("""COMPUTED_VALUE"""),"JU 382")</f>
        <v>JU 382</v>
      </c>
      <c r="AA332" s="37" t="str">
        <f ca="1">IFERROR(__xludf.DUMMYFUNCTION("""COMPUTED_VALUE"""),"27/10/2024")</f>
        <v>27/10/2024</v>
      </c>
      <c r="AB332" s="64">
        <f ca="1">IFERROR(__xludf.DUMMYFUNCTION("""COMPUTED_VALUE"""),0.715277777777777)</f>
        <v>0.71527777777777701</v>
      </c>
    </row>
    <row r="333" spans="1:28" ht="14.55" customHeight="1" x14ac:dyDescent="0.3">
      <c r="A333" s="8">
        <v>41</v>
      </c>
      <c r="B333" s="8"/>
      <c r="C333" s="8"/>
      <c r="D333" s="8" t="str">
        <f ca="1">IFERROR(__xludf.DUMMYFUNCTION("""COMPUTED_VALUE"""),"14/08/2024")</f>
        <v>14/08/2024</v>
      </c>
      <c r="E333" s="16" t="str">
        <f ca="1">IFERROR(__xludf.DUMMYFUNCTION("""COMPUTED_VALUE"""),"Player")</f>
        <v>Player</v>
      </c>
      <c r="F333" s="8" t="str">
        <f ca="1">IFERROR(__xludf.DUMMYFUNCTION("""COMPUTED_VALUE"""),"Cramling, Dan")</f>
        <v>Cramling, Dan</v>
      </c>
      <c r="G333" s="16" t="str">
        <f ca="1">IFERROR(__xludf.DUMMYFUNCTION("""COMPUTED_VALUE"""),"SWE")</f>
        <v>SWE</v>
      </c>
      <c r="H333" s="8"/>
      <c r="I333" s="8">
        <f ca="1">IFERROR(__xludf.DUMMYFUNCTION("""COMPUTED_VALUE"""),100)</f>
        <v>100</v>
      </c>
      <c r="J333" s="8"/>
      <c r="K333" s="8"/>
      <c r="L333" s="8" t="str">
        <f ca="1">IFERROR(__xludf.DUMMYFUNCTION("""COMPUTED_VALUE"""),"Wasa SK")</f>
        <v>Wasa SK</v>
      </c>
      <c r="M333" s="16" t="str">
        <f ca="1">IFERROR(__xludf.DUMMYFUNCTION("""COMPUTED_VALUE"""),"SWE")</f>
        <v>SWE</v>
      </c>
      <c r="N333" s="16" t="str">
        <f ca="1">IFERROR(__xludf.DUMMYFUNCTION("""COMPUTED_VALUE"""),"Zepter")</f>
        <v>Zepter</v>
      </c>
      <c r="O333" s="8"/>
      <c r="P333" s="8">
        <f ca="1">IFERROR(__xludf.DUMMYFUNCTION("""COMPUTED_VALUE"""),104)</f>
        <v>104</v>
      </c>
      <c r="Q333" s="8">
        <f ca="1">IFERROR(__xludf.DUMMYFUNCTION("""COMPUTED_VALUE"""),8)</f>
        <v>8</v>
      </c>
      <c r="R333" s="8">
        <f ca="1">IFERROR(__xludf.DUMMYFUNCTION("""COMPUTED_VALUE"""),832)</f>
        <v>832</v>
      </c>
      <c r="S333" s="8">
        <f ca="1">IFERROR(__xludf.DUMMYFUNCTION("""COMPUTED_VALUE"""),12.8)</f>
        <v>12.8</v>
      </c>
      <c r="T333" s="8">
        <f ca="1">IFERROR(__xludf.DUMMYFUNCTION("""COMPUTED_VALUE"""),844.8)</f>
        <v>844.8</v>
      </c>
      <c r="U333" s="8"/>
      <c r="V333" s="8"/>
      <c r="W333" s="8"/>
      <c r="X333" s="8" t="str">
        <f ca="1">IFERROR(__xludf.DUMMYFUNCTION("""COMPUTED_VALUE"""),"Tonanti ili Fontana")</f>
        <v>Tonanti ili Fontana</v>
      </c>
      <c r="Y333" s="8"/>
      <c r="Z333" s="37" t="str">
        <f ca="1">IFERROR(__xludf.DUMMYFUNCTION("""COMPUTED_VALUE"""),"JU 382")</f>
        <v>JU 382</v>
      </c>
      <c r="AA333" s="37" t="str">
        <f ca="1">IFERROR(__xludf.DUMMYFUNCTION("""COMPUTED_VALUE"""),"27/10/2024")</f>
        <v>27/10/2024</v>
      </c>
      <c r="AB333" s="64">
        <f ca="1">IFERROR(__xludf.DUMMYFUNCTION("""COMPUTED_VALUE"""),0.715277777777777)</f>
        <v>0.71527777777777701</v>
      </c>
    </row>
    <row r="334" spans="1:28" ht="14.55" customHeight="1" x14ac:dyDescent="0.3">
      <c r="A334" s="8">
        <v>42</v>
      </c>
      <c r="B334" s="8"/>
      <c r="C334" s="8"/>
      <c r="D334" s="8" t="str">
        <f ca="1">IFERROR(__xludf.DUMMYFUNCTION("""COMPUTED_VALUE"""),"14/08/2024")</f>
        <v>14/08/2024</v>
      </c>
      <c r="E334" s="16" t="str">
        <f ca="1">IFERROR(__xludf.DUMMYFUNCTION("""COMPUTED_VALUE"""),"Player")</f>
        <v>Player</v>
      </c>
      <c r="F334" s="8" t="str">
        <f ca="1">IFERROR(__xludf.DUMMYFUNCTION("""COMPUTED_VALUE"""),"Johansson, Viktoria")</f>
        <v>Johansson, Viktoria</v>
      </c>
      <c r="G334" s="8" t="str">
        <f ca="1">IFERROR(__xludf.DUMMYFUNCTION("""COMPUTED_VALUE"""),"SWE")</f>
        <v>SWE</v>
      </c>
      <c r="H334" s="8"/>
      <c r="I334" s="8">
        <f ca="1">IFERROR(__xludf.DUMMYFUNCTION("""COMPUTED_VALUE"""),100)</f>
        <v>100</v>
      </c>
      <c r="J334" s="8"/>
      <c r="K334" s="8"/>
      <c r="L334" s="8" t="str">
        <f ca="1">IFERROR(__xludf.DUMMYFUNCTION("""COMPUTED_VALUE"""),"Wasa SK")</f>
        <v>Wasa SK</v>
      </c>
      <c r="M334" s="8" t="str">
        <f ca="1">IFERROR(__xludf.DUMMYFUNCTION("""COMPUTED_VALUE"""),"SWE")</f>
        <v>SWE</v>
      </c>
      <c r="N334" s="16" t="str">
        <f ca="1">IFERROR(__xludf.DUMMYFUNCTION("""COMPUTED_VALUE"""),"Zepter")</f>
        <v>Zepter</v>
      </c>
      <c r="O334" s="8" t="str">
        <f ca="1">IFERROR(__xludf.DUMMYFUNCTION("""COMPUTED_VALUE"""),"Single")</f>
        <v>Single</v>
      </c>
      <c r="P334" s="8"/>
      <c r="Q334" s="8">
        <f ca="1">IFERROR(__xludf.DUMMYFUNCTION("""COMPUTED_VALUE"""),8)</f>
        <v>8</v>
      </c>
      <c r="R334" s="8">
        <f ca="1">IFERROR(__xludf.DUMMYFUNCTION("""COMPUTED_VALUE"""),832)</f>
        <v>832</v>
      </c>
      <c r="S334" s="8">
        <f ca="1">IFERROR(__xludf.DUMMYFUNCTION("""COMPUTED_VALUE"""),12.8)</f>
        <v>12.8</v>
      </c>
      <c r="T334" s="8">
        <f ca="1">IFERROR(__xludf.DUMMYFUNCTION("""COMPUTED_VALUE"""),844.8)</f>
        <v>844.8</v>
      </c>
      <c r="U334" s="8"/>
      <c r="V334" s="8"/>
      <c r="W334" s="8"/>
      <c r="X334" s="8" t="str">
        <f ca="1">IFERROR(__xludf.DUMMYFUNCTION("""COMPUTED_VALUE"""),"Tonanti ili Fontana")</f>
        <v>Tonanti ili Fontana</v>
      </c>
      <c r="Y334" s="8"/>
      <c r="Z334" s="37" t="str">
        <f ca="1">IFERROR(__xludf.DUMMYFUNCTION("""COMPUTED_VALUE"""),"JU 382")</f>
        <v>JU 382</v>
      </c>
      <c r="AA334" s="37" t="str">
        <f ca="1">IFERROR(__xludf.DUMMYFUNCTION("""COMPUTED_VALUE"""),"27/10/2024")</f>
        <v>27/10/2024</v>
      </c>
      <c r="AB334" s="64">
        <f ca="1">IFERROR(__xludf.DUMMYFUNCTION("""COMPUTED_VALUE"""),0.715277777777777)</f>
        <v>0.71527777777777701</v>
      </c>
    </row>
    <row r="335" spans="1:28" ht="14.55" customHeight="1" x14ac:dyDescent="0.3">
      <c r="A335" s="8">
        <v>43</v>
      </c>
      <c r="B335" s="8"/>
      <c r="C335" s="8"/>
      <c r="D335" s="8" t="str">
        <f ca="1">IFERROR(__xludf.DUMMYFUNCTION("""COMPUTED_VALUE"""),"14/08/2024")</f>
        <v>14/08/2024</v>
      </c>
      <c r="E335" s="16" t="str">
        <f ca="1">IFERROR(__xludf.DUMMYFUNCTION("""COMPUTED_VALUE"""),"Player")</f>
        <v>Player</v>
      </c>
      <c r="F335" s="8" t="str">
        <f ca="1">IFERROR(__xludf.DUMMYFUNCTION("""COMPUTED_VALUE"""),"Isurina Mariano, Cristine Rose")</f>
        <v>Isurina Mariano, Cristine Rose</v>
      </c>
      <c r="G335" s="8" t="str">
        <f ca="1">IFERROR(__xludf.DUMMYFUNCTION("""COMPUTED_VALUE"""),"PHI")</f>
        <v>PHI</v>
      </c>
      <c r="H335" s="8"/>
      <c r="I335" s="8">
        <f ca="1">IFERROR(__xludf.DUMMYFUNCTION("""COMPUTED_VALUE"""),100)</f>
        <v>100</v>
      </c>
      <c r="J335" s="8"/>
      <c r="K335" s="8"/>
      <c r="L335" s="8" t="str">
        <f ca="1">IFERROR(__xludf.DUMMYFUNCTION("""COMPUTED_VALUE"""),"Wasa SK")</f>
        <v>Wasa SK</v>
      </c>
      <c r="M335" s="8" t="str">
        <f ca="1">IFERROR(__xludf.DUMMYFUNCTION("""COMPUTED_VALUE"""),"SWE")</f>
        <v>SWE</v>
      </c>
      <c r="N335" s="16" t="str">
        <f ca="1">IFERROR(__xludf.DUMMYFUNCTION("""COMPUTED_VALUE"""),"Zepter")</f>
        <v>Zepter</v>
      </c>
      <c r="O335" s="8" t="str">
        <f ca="1">IFERROR(__xludf.DUMMYFUNCTION("""COMPUTED_VALUE"""),"Single")</f>
        <v>Single</v>
      </c>
      <c r="P335" s="8"/>
      <c r="Q335" s="8">
        <f ca="1">IFERROR(__xludf.DUMMYFUNCTION("""COMPUTED_VALUE"""),8)</f>
        <v>8</v>
      </c>
      <c r="R335" s="8">
        <f ca="1">IFERROR(__xludf.DUMMYFUNCTION("""COMPUTED_VALUE"""),832)</f>
        <v>832</v>
      </c>
      <c r="S335" s="8">
        <f ca="1">IFERROR(__xludf.DUMMYFUNCTION("""COMPUTED_VALUE"""),12.8)</f>
        <v>12.8</v>
      </c>
      <c r="T335" s="8">
        <f ca="1">IFERROR(__xludf.DUMMYFUNCTION("""COMPUTED_VALUE"""),844.8)</f>
        <v>844.8</v>
      </c>
      <c r="U335" s="8"/>
      <c r="V335" s="8"/>
      <c r="W335" s="8"/>
      <c r="X335" s="8" t="str">
        <f ca="1">IFERROR(__xludf.DUMMYFUNCTION("""COMPUTED_VALUE"""),"Tonanti ili Fontana")</f>
        <v>Tonanti ili Fontana</v>
      </c>
      <c r="Y335" s="8"/>
      <c r="Z335" s="37" t="str">
        <f ca="1">IFERROR(__xludf.DUMMYFUNCTION("""COMPUTED_VALUE"""),"JU 382")</f>
        <v>JU 382</v>
      </c>
      <c r="AA335" s="37" t="str">
        <f ca="1">IFERROR(__xludf.DUMMYFUNCTION("""COMPUTED_VALUE"""),"27/10/2024")</f>
        <v>27/10/2024</v>
      </c>
      <c r="AB335" s="64">
        <f ca="1">IFERROR(__xludf.DUMMYFUNCTION("""COMPUTED_VALUE"""),0.715277777777777)</f>
        <v>0.71527777777777701</v>
      </c>
    </row>
    <row r="336" spans="1:28" ht="14.55" customHeight="1" x14ac:dyDescent="0.3">
      <c r="A336" s="8">
        <v>44</v>
      </c>
      <c r="B336" s="8"/>
      <c r="C336" s="8" t="str">
        <f ca="1">IFERROR(__xludf.DUMMYFUNCTION("""COMPUTED_VALUE"""),"NOV umesto Hetvik, Elias")</f>
        <v>NOV umesto Hetvik, Elias</v>
      </c>
      <c r="D336" s="8" t="str">
        <f ca="1">IFERROR(__xludf.DUMMYFUNCTION("""COMPUTED_VALUE"""),"15/08/2024")</f>
        <v>15/08/2024</v>
      </c>
      <c r="E336" s="16" t="str">
        <f ca="1">IFERROR(__xludf.DUMMYFUNCTION("""COMPUTED_VALUE"""),"Player")</f>
        <v>Player</v>
      </c>
      <c r="F336" s="8" t="str">
        <f ca="1">IFERROR(__xludf.DUMMYFUNCTION("""COMPUTED_VALUE"""),"Den Roover, Nikolay Jorgensen")</f>
        <v>Den Roover, Nikolay Jorgensen</v>
      </c>
      <c r="G336" s="16" t="str">
        <f ca="1">IFERROR(__xludf.DUMMYFUNCTION("""COMPUTED_VALUE"""),"NOR")</f>
        <v>NOR</v>
      </c>
      <c r="H336" s="8"/>
      <c r="I336" s="8">
        <f ca="1">IFERROR(__xludf.DUMMYFUNCTION("""COMPUTED_VALUE"""),100)</f>
        <v>100</v>
      </c>
      <c r="J336" s="8"/>
      <c r="K336" s="8"/>
      <c r="L336" s="8" t="str">
        <f ca="1">IFERROR(__xludf.DUMMYFUNCTION("""COMPUTED_VALUE"""),"Bærum Schakselskap")</f>
        <v>Bærum Schakselskap</v>
      </c>
      <c r="M336" s="16" t="str">
        <f ca="1">IFERROR(__xludf.DUMMYFUNCTION("""COMPUTED_VALUE"""),"NOR")</f>
        <v>NOR</v>
      </c>
      <c r="N336" s="16" t="str">
        <f ca="1">IFERROR(__xludf.DUMMYFUNCTION("""COMPUTED_VALUE"""),"Tonanti")</f>
        <v>Tonanti</v>
      </c>
      <c r="O336" s="8" t="str">
        <f ca="1">IFERROR(__xludf.DUMMYFUNCTION("""COMPUTED_VALUE"""),"den Roover")</f>
        <v>den Roover</v>
      </c>
      <c r="P336" s="8">
        <f ca="1">IFERROR(__xludf.DUMMYFUNCTION("""COMPUTED_VALUE"""),85)</f>
        <v>85</v>
      </c>
      <c r="Q336" s="8">
        <f ca="1">IFERROR(__xludf.DUMMYFUNCTION("""COMPUTED_VALUE"""),8)</f>
        <v>8</v>
      </c>
      <c r="R336" s="8">
        <f ca="1">IFERROR(__xludf.DUMMYFUNCTION("""COMPUTED_VALUE"""),680)</f>
        <v>680</v>
      </c>
      <c r="S336" s="8">
        <f ca="1">IFERROR(__xludf.DUMMYFUNCTION("""COMPUTED_VALUE"""),12.8)</f>
        <v>12.8</v>
      </c>
      <c r="T336" s="8">
        <f ca="1">IFERROR(__xludf.DUMMYFUNCTION("""COMPUTED_VALUE"""),692.8)</f>
        <v>692.8</v>
      </c>
      <c r="U336" s="8"/>
      <c r="V336" s="8"/>
      <c r="W336" s="8"/>
      <c r="X336" s="8"/>
      <c r="Y336" s="8"/>
      <c r="Z336" s="37" t="str">
        <f ca="1">IFERROR(__xludf.DUMMYFUNCTION("""COMPUTED_VALUE"""),"JU392")</f>
        <v>JU392</v>
      </c>
      <c r="AA336" s="37" t="str">
        <f ca="1">IFERROR(__xludf.DUMMYFUNCTION("""COMPUTED_VALUE"""),"27/10/2024")</f>
        <v>27/10/2024</v>
      </c>
      <c r="AB336" s="64">
        <f ca="1">IFERROR(__xludf.DUMMYFUNCTION("""COMPUTED_VALUE"""),0.71875)</f>
        <v>0.71875</v>
      </c>
    </row>
    <row r="337" spans="1:28" ht="14.55" customHeight="1" x14ac:dyDescent="0.3">
      <c r="A337" s="8">
        <v>45</v>
      </c>
      <c r="B337" s="8"/>
      <c r="C337" s="8"/>
      <c r="D337" s="8"/>
      <c r="E337" s="16" t="s">
        <v>0</v>
      </c>
      <c r="F337" s="8" t="str">
        <f ca="1">IFERROR(__xludf.DUMMYFUNCTION("""COMPUTED_VALUE"""),"den Roover, Dennis")</f>
        <v>den Roover, Dennis</v>
      </c>
      <c r="G337" s="16" t="str">
        <f ca="1">IFERROR(__xludf.DUMMYFUNCTION("""COMPUTED_VALUE"""),"NOR")</f>
        <v>NOR</v>
      </c>
      <c r="H337" s="8"/>
      <c r="I337" s="8">
        <f ca="1">IFERROR(__xludf.DUMMYFUNCTION("""COMPUTED_VALUE"""),100)</f>
        <v>100</v>
      </c>
      <c r="J337" s="8"/>
      <c r="K337" s="8"/>
      <c r="L337" s="8" t="str">
        <f ca="1">IFERROR(__xludf.DUMMYFUNCTION("""COMPUTED_VALUE"""),"Bærum Schakselskap")</f>
        <v>Bærum Schakselskap</v>
      </c>
      <c r="M337" s="16" t="str">
        <f ca="1">IFERROR(__xludf.DUMMYFUNCTION("""COMPUTED_VALUE"""),"NOR")</f>
        <v>NOR</v>
      </c>
      <c r="N337" s="16" t="str">
        <f ca="1">IFERROR(__xludf.DUMMYFUNCTION("""COMPUTED_VALUE"""),"Tonanti")</f>
        <v>Tonanti</v>
      </c>
      <c r="O337" s="8" t="str">
        <f ca="1">IFERROR(__xludf.DUMMYFUNCTION("""COMPUTED_VALUE"""),"den Roover")</f>
        <v>den Roover</v>
      </c>
      <c r="P337" s="8">
        <f ca="1">IFERROR(__xludf.DUMMYFUNCTION("""COMPUTED_VALUE"""),85)</f>
        <v>85</v>
      </c>
      <c r="Q337" s="8">
        <f ca="1">IFERROR(__xludf.DUMMYFUNCTION("""COMPUTED_VALUE"""),8)</f>
        <v>8</v>
      </c>
      <c r="R337" s="8">
        <f ca="1">IFERROR(__xludf.DUMMYFUNCTION("""COMPUTED_VALUE"""),680)</f>
        <v>680</v>
      </c>
      <c r="S337" s="8">
        <f ca="1">IFERROR(__xludf.DUMMYFUNCTION("""COMPUTED_VALUE"""),12.8)</f>
        <v>12.8</v>
      </c>
      <c r="T337" s="8">
        <f ca="1">IFERROR(__xludf.DUMMYFUNCTION("""COMPUTED_VALUE"""),692.8)</f>
        <v>692.8</v>
      </c>
      <c r="U337" s="8"/>
      <c r="V337" s="8"/>
      <c r="W337" s="8"/>
      <c r="X337" s="8"/>
      <c r="Y337" s="8"/>
      <c r="Z337" s="37" t="str">
        <f ca="1">IFERROR(__xludf.DUMMYFUNCTION("""COMPUTED_VALUE"""),"JU392")</f>
        <v>JU392</v>
      </c>
      <c r="AA337" s="37" t="str">
        <f ca="1">IFERROR(__xludf.DUMMYFUNCTION("""COMPUTED_VALUE"""),"27/10/2024")</f>
        <v>27/10/2024</v>
      </c>
      <c r="AB337" s="64">
        <f ca="1">IFERROR(__xludf.DUMMYFUNCTION("""COMPUTED_VALUE"""),0.71875)</f>
        <v>0.71875</v>
      </c>
    </row>
    <row r="338" spans="1:28" ht="14.55" customHeight="1" x14ac:dyDescent="0.3">
      <c r="A338" s="8">
        <v>46</v>
      </c>
      <c r="B338" s="8"/>
      <c r="C338" s="8"/>
      <c r="D338" s="8" t="str">
        <f ca="1">IFERROR(__xludf.DUMMYFUNCTION("""COMPUTED_VALUE"""),"16/07/2024")</f>
        <v>16/07/2024</v>
      </c>
      <c r="E338" s="16" t="str">
        <f ca="1">IFERROR(__xludf.DUMMYFUNCTION("""COMPUTED_VALUE"""),"Player")</f>
        <v>Player</v>
      </c>
      <c r="F338" s="8" t="str">
        <f ca="1">IFERROR(__xludf.DUMMYFUNCTION("""COMPUTED_VALUE"""),"Grandelius, Nils")</f>
        <v>Grandelius, Nils</v>
      </c>
      <c r="G338" s="16" t="str">
        <f ca="1">IFERROR(__xludf.DUMMYFUNCTION("""COMPUTED_VALUE"""),"SWE")</f>
        <v>SWE</v>
      </c>
      <c r="H338" s="8"/>
      <c r="I338" s="8">
        <f ca="1">IFERROR(__xludf.DUMMYFUNCTION("""COMPUTED_VALUE"""),100)</f>
        <v>100</v>
      </c>
      <c r="J338" s="8"/>
      <c r="K338" s="8"/>
      <c r="L338" s="8" t="str">
        <f ca="1">IFERROR(__xludf.DUMMYFUNCTION("""COMPUTED_VALUE"""),"Novy Bor Chess Club")</f>
        <v>Novy Bor Chess Club</v>
      </c>
      <c r="M338" s="16" t="str">
        <f ca="1">IFERROR(__xludf.DUMMYFUNCTION("""COMPUTED_VALUE"""),"CZE")</f>
        <v>CZE</v>
      </c>
      <c r="N338" s="16" t="str">
        <f ca="1">IFERROR(__xludf.DUMMYFUNCTION("""COMPUTED_VALUE"""),"Fontana")</f>
        <v>Fontana</v>
      </c>
      <c r="O338" s="8"/>
      <c r="P338" s="8">
        <f ca="1">IFERROR(__xludf.DUMMYFUNCTION("""COMPUTED_VALUE"""),104)</f>
        <v>104</v>
      </c>
      <c r="Q338" s="8">
        <f ca="1">IFERROR(__xludf.DUMMYFUNCTION("""COMPUTED_VALUE"""),8)</f>
        <v>8</v>
      </c>
      <c r="R338" s="8">
        <f ca="1">IFERROR(__xludf.DUMMYFUNCTION("""COMPUTED_VALUE"""),832)</f>
        <v>832</v>
      </c>
      <c r="S338" s="8">
        <f ca="1">IFERROR(__xludf.DUMMYFUNCTION("""COMPUTED_VALUE"""),12.8)</f>
        <v>12.8</v>
      </c>
      <c r="T338" s="8">
        <f ca="1">IFERROR(__xludf.DUMMYFUNCTION("""COMPUTED_VALUE"""),844.8)</f>
        <v>844.8</v>
      </c>
      <c r="U338" s="8"/>
      <c r="V338" s="8"/>
      <c r="W338" s="8"/>
      <c r="X338" s="8"/>
      <c r="Y338" s="8"/>
      <c r="Z338" s="37" t="str">
        <f ca="1">IFERROR(__xludf.DUMMYFUNCTION("""COMPUTED_VALUE"""),"JU 372")</f>
        <v>JU 372</v>
      </c>
      <c r="AA338" s="37" t="str">
        <f ca="1">IFERROR(__xludf.DUMMYFUNCTION("""COMPUTED_VALUE"""),"27/10/2024")</f>
        <v>27/10/2024</v>
      </c>
      <c r="AB338" s="64">
        <f ca="1">IFERROR(__xludf.DUMMYFUNCTION("""COMPUTED_VALUE"""),0.71875)</f>
        <v>0.71875</v>
      </c>
    </row>
    <row r="339" spans="1:28" ht="14.55" customHeight="1" x14ac:dyDescent="0.3">
      <c r="A339" s="8">
        <v>47</v>
      </c>
      <c r="B339" s="8"/>
      <c r="C339" s="8"/>
      <c r="D339" s="13">
        <f ca="1">IFERROR(__xludf.DUMMYFUNCTION("""COMPUTED_VALUE"""),45329)</f>
        <v>45329</v>
      </c>
      <c r="E339" s="16" t="str">
        <f ca="1">IFERROR(__xludf.DUMMYFUNCTION("""COMPUTED_VALUE"""),"Player")</f>
        <v>Player</v>
      </c>
      <c r="F339" s="8" t="str">
        <f ca="1">IFERROR(__xludf.DUMMYFUNCTION("""COMPUTED_VALUE"""),"Jepson, Christian")</f>
        <v>Jepson, Christian</v>
      </c>
      <c r="G339" s="16" t="str">
        <f ca="1">IFERROR(__xludf.DUMMYFUNCTION("""COMPUTED_VALUE"""),"SWE")</f>
        <v>SWE</v>
      </c>
      <c r="H339" s="8"/>
      <c r="I339" s="8">
        <f ca="1">IFERROR(__xludf.DUMMYFUNCTION("""COMPUTED_VALUE"""),100)</f>
        <v>100</v>
      </c>
      <c r="J339" s="8"/>
      <c r="K339" s="8"/>
      <c r="L339" s="8" t="str">
        <f ca="1">IFERROR(__xludf.DUMMYFUNCTION("""COMPUTED_VALUE"""),"Skakklubben Nordkalotten")</f>
        <v>Skakklubben Nordkalotten</v>
      </c>
      <c r="M339" s="16" t="str">
        <f ca="1">IFERROR(__xludf.DUMMYFUNCTION("""COMPUTED_VALUE"""),"DEN")</f>
        <v>DEN</v>
      </c>
      <c r="N339" s="16" t="str">
        <f ca="1">IFERROR(__xludf.DUMMYFUNCTION("""COMPUTED_VALUE"""),"Fontana")</f>
        <v>Fontana</v>
      </c>
      <c r="O339" s="8"/>
      <c r="P339" s="8">
        <f ca="1">IFERROR(__xludf.DUMMYFUNCTION("""COMPUTED_VALUE"""),104)</f>
        <v>104</v>
      </c>
      <c r="Q339" s="8">
        <f ca="1">IFERROR(__xludf.DUMMYFUNCTION("""COMPUTED_VALUE"""),8)</f>
        <v>8</v>
      </c>
      <c r="R339" s="8">
        <f ca="1">IFERROR(__xludf.DUMMYFUNCTION("""COMPUTED_VALUE"""),832)</f>
        <v>832</v>
      </c>
      <c r="S339" s="8">
        <f ca="1">IFERROR(__xludf.DUMMYFUNCTION("""COMPUTED_VALUE"""),12.8)</f>
        <v>12.8</v>
      </c>
      <c r="T339" s="8">
        <f ca="1">IFERROR(__xludf.DUMMYFUNCTION("""COMPUTED_VALUE"""),844.8)</f>
        <v>844.8</v>
      </c>
      <c r="U339" s="8"/>
      <c r="V339" s="8"/>
      <c r="W339" s="8"/>
      <c r="X339" s="8"/>
      <c r="Y339" s="8"/>
      <c r="Z339" s="37" t="str">
        <f ca="1">IFERROR(__xludf.DUMMYFUNCTION("""COMPUTED_VALUE"""),"JU372")</f>
        <v>JU372</v>
      </c>
      <c r="AA339" s="37" t="str">
        <f ca="1">IFERROR(__xludf.DUMMYFUNCTION("""COMPUTED_VALUE"""),"27/10/2024")</f>
        <v>27/10/2024</v>
      </c>
      <c r="AB339" s="64">
        <f ca="1">IFERROR(__xludf.DUMMYFUNCTION("""COMPUTED_VALUE"""),0.71875)</f>
        <v>0.71875</v>
      </c>
    </row>
    <row r="340" spans="1:28" ht="14.55" customHeight="1" x14ac:dyDescent="0.3">
      <c r="A340" s="8">
        <v>48</v>
      </c>
      <c r="B340" s="8"/>
      <c r="C340" s="8"/>
      <c r="D340" s="13">
        <f ca="1">IFERROR(__xludf.DUMMYFUNCTION("""COMPUTED_VALUE"""),45329)</f>
        <v>45329</v>
      </c>
      <c r="E340" s="16" t="str">
        <f ca="1">IFERROR(__xludf.DUMMYFUNCTION("""COMPUTED_VALUE"""),"Player")</f>
        <v>Player</v>
      </c>
      <c r="F340" s="8" t="str">
        <f ca="1">IFERROR(__xludf.DUMMYFUNCTION("""COMPUTED_VALUE"""),"Kristensen, Kaare Hove")</f>
        <v>Kristensen, Kaare Hove</v>
      </c>
      <c r="G340" s="16" t="str">
        <f ca="1">IFERROR(__xludf.DUMMYFUNCTION("""COMPUTED_VALUE"""),"DEN")</f>
        <v>DEN</v>
      </c>
      <c r="H340" s="8"/>
      <c r="I340" s="8">
        <f ca="1">IFERROR(__xludf.DUMMYFUNCTION("""COMPUTED_VALUE"""),100)</f>
        <v>100</v>
      </c>
      <c r="J340" s="8"/>
      <c r="K340" s="8"/>
      <c r="L340" s="8" t="str">
        <f ca="1">IFERROR(__xludf.DUMMYFUNCTION("""COMPUTED_VALUE"""),"Skakklubben Nordkalotten")</f>
        <v>Skakklubben Nordkalotten</v>
      </c>
      <c r="M340" s="16" t="str">
        <f ca="1">IFERROR(__xludf.DUMMYFUNCTION("""COMPUTED_VALUE"""),"DEN")</f>
        <v>DEN</v>
      </c>
      <c r="N340" s="16" t="str">
        <f ca="1">IFERROR(__xludf.DUMMYFUNCTION("""COMPUTED_VALUE"""),"Fontana")</f>
        <v>Fontana</v>
      </c>
      <c r="O340" s="8"/>
      <c r="P340" s="8">
        <f ca="1">IFERROR(__xludf.DUMMYFUNCTION("""COMPUTED_VALUE"""),104)</f>
        <v>104</v>
      </c>
      <c r="Q340" s="8">
        <f ca="1">IFERROR(__xludf.DUMMYFUNCTION("""COMPUTED_VALUE"""),8)</f>
        <v>8</v>
      </c>
      <c r="R340" s="8">
        <f ca="1">IFERROR(__xludf.DUMMYFUNCTION("""COMPUTED_VALUE"""),832)</f>
        <v>832</v>
      </c>
      <c r="S340" s="8">
        <f ca="1">IFERROR(__xludf.DUMMYFUNCTION("""COMPUTED_VALUE"""),12.8)</f>
        <v>12.8</v>
      </c>
      <c r="T340" s="8">
        <f ca="1">IFERROR(__xludf.DUMMYFUNCTION("""COMPUTED_VALUE"""),844.8)</f>
        <v>844.8</v>
      </c>
      <c r="U340" s="8"/>
      <c r="V340" s="8"/>
      <c r="W340" s="8"/>
      <c r="X340" s="8"/>
      <c r="Y340" s="8"/>
      <c r="Z340" s="37" t="str">
        <f ca="1">IFERROR(__xludf.DUMMYFUNCTION("""COMPUTED_VALUE"""),"JU372")</f>
        <v>JU372</v>
      </c>
      <c r="AA340" s="37" t="str">
        <f ca="1">IFERROR(__xludf.DUMMYFUNCTION("""COMPUTED_VALUE"""),"27/10/2024")</f>
        <v>27/10/2024</v>
      </c>
      <c r="AB340" s="64">
        <f ca="1">IFERROR(__xludf.DUMMYFUNCTION("""COMPUTED_VALUE"""),0.71875)</f>
        <v>0.71875</v>
      </c>
    </row>
    <row r="341" spans="1:28" ht="14.55" customHeight="1" x14ac:dyDescent="0.3">
      <c r="A341" s="8">
        <v>49</v>
      </c>
      <c r="B341" s="8"/>
      <c r="C341" s="8"/>
      <c r="D341" s="13">
        <f ca="1">IFERROR(__xludf.DUMMYFUNCTION("""COMPUTED_VALUE"""),45329)</f>
        <v>45329</v>
      </c>
      <c r="E341" s="16" t="str">
        <f ca="1">IFERROR(__xludf.DUMMYFUNCTION("""COMPUTED_VALUE"""),"Player")</f>
        <v>Player</v>
      </c>
      <c r="F341" s="8" t="str">
        <f ca="1">IFERROR(__xludf.DUMMYFUNCTION("""COMPUTED_VALUE"""),"Sylvan, Jacob")</f>
        <v>Sylvan, Jacob</v>
      </c>
      <c r="G341" s="16" t="str">
        <f ca="1">IFERROR(__xludf.DUMMYFUNCTION("""COMPUTED_VALUE"""),"DEN")</f>
        <v>DEN</v>
      </c>
      <c r="H341" s="8"/>
      <c r="I341" s="8">
        <f ca="1">IFERROR(__xludf.DUMMYFUNCTION("""COMPUTED_VALUE"""),100)</f>
        <v>100</v>
      </c>
      <c r="J341" s="8"/>
      <c r="K341" s="8"/>
      <c r="L341" s="8" t="str">
        <f ca="1">IFERROR(__xludf.DUMMYFUNCTION("""COMPUTED_VALUE"""),"Skakklubben Nordkalotten")</f>
        <v>Skakklubben Nordkalotten</v>
      </c>
      <c r="M341" s="16" t="str">
        <f ca="1">IFERROR(__xludf.DUMMYFUNCTION("""COMPUTED_VALUE"""),"DEN")</f>
        <v>DEN</v>
      </c>
      <c r="N341" s="16" t="str">
        <f ca="1">IFERROR(__xludf.DUMMYFUNCTION("""COMPUTED_VALUE"""),"Fontana")</f>
        <v>Fontana</v>
      </c>
      <c r="O341" s="8"/>
      <c r="P341" s="8">
        <f ca="1">IFERROR(__xludf.DUMMYFUNCTION("""COMPUTED_VALUE"""),104)</f>
        <v>104</v>
      </c>
      <c r="Q341" s="8">
        <f ca="1">IFERROR(__xludf.DUMMYFUNCTION("""COMPUTED_VALUE"""),8)</f>
        <v>8</v>
      </c>
      <c r="R341" s="8">
        <f ca="1">IFERROR(__xludf.DUMMYFUNCTION("""COMPUTED_VALUE"""),832)</f>
        <v>832</v>
      </c>
      <c r="S341" s="8">
        <f ca="1">IFERROR(__xludf.DUMMYFUNCTION("""COMPUTED_VALUE"""),12.8)</f>
        <v>12.8</v>
      </c>
      <c r="T341" s="8">
        <f ca="1">IFERROR(__xludf.DUMMYFUNCTION("""COMPUTED_VALUE"""),844.8)</f>
        <v>844.8</v>
      </c>
      <c r="U341" s="8"/>
      <c r="V341" s="8"/>
      <c r="W341" s="8"/>
      <c r="X341" s="8"/>
      <c r="Y341" s="8"/>
      <c r="Z341" s="37" t="str">
        <f ca="1">IFERROR(__xludf.DUMMYFUNCTION("""COMPUTED_VALUE"""),"JU372")</f>
        <v>JU372</v>
      </c>
      <c r="AA341" s="37" t="str">
        <f ca="1">IFERROR(__xludf.DUMMYFUNCTION("""COMPUTED_VALUE"""),"27/10/2024")</f>
        <v>27/10/2024</v>
      </c>
      <c r="AB341" s="64">
        <f ca="1">IFERROR(__xludf.DUMMYFUNCTION("""COMPUTED_VALUE"""),0.71875)</f>
        <v>0.71875</v>
      </c>
    </row>
    <row r="342" spans="1:28" ht="14.55" customHeight="1" x14ac:dyDescent="0.3">
      <c r="A342" s="8">
        <v>50</v>
      </c>
      <c r="B342" s="8"/>
      <c r="C342" s="8"/>
      <c r="D342" s="13">
        <f ca="1">IFERROR(__xludf.DUMMYFUNCTION("""COMPUTED_VALUE"""),45329)</f>
        <v>45329</v>
      </c>
      <c r="E342" s="16" t="str">
        <f ca="1">IFERROR(__xludf.DUMMYFUNCTION("""COMPUTED_VALUE"""),"Player")</f>
        <v>Player</v>
      </c>
      <c r="F342" s="8" t="str">
        <f ca="1">IFERROR(__xludf.DUMMYFUNCTION("""COMPUTED_VALUE"""),"Hove, Esben Kjems")</f>
        <v>Hove, Esben Kjems</v>
      </c>
      <c r="G342" s="16" t="str">
        <f ca="1">IFERROR(__xludf.DUMMYFUNCTION("""COMPUTED_VALUE"""),"DEN")</f>
        <v>DEN</v>
      </c>
      <c r="H342" s="8"/>
      <c r="I342" s="8">
        <f ca="1">IFERROR(__xludf.DUMMYFUNCTION("""COMPUTED_VALUE"""),100)</f>
        <v>100</v>
      </c>
      <c r="J342" s="8"/>
      <c r="K342" s="8"/>
      <c r="L342" s="8" t="str">
        <f ca="1">IFERROR(__xludf.DUMMYFUNCTION("""COMPUTED_VALUE"""),"Skakklubben Nordkalotten")</f>
        <v>Skakklubben Nordkalotten</v>
      </c>
      <c r="M342" s="16" t="str">
        <f ca="1">IFERROR(__xludf.DUMMYFUNCTION("""COMPUTED_VALUE"""),"DEN")</f>
        <v>DEN</v>
      </c>
      <c r="N342" s="16" t="str">
        <f ca="1">IFERROR(__xludf.DUMMYFUNCTION("""COMPUTED_VALUE"""),"Fontana")</f>
        <v>Fontana</v>
      </c>
      <c r="O342" s="8"/>
      <c r="P342" s="8">
        <f ca="1">IFERROR(__xludf.DUMMYFUNCTION("""COMPUTED_VALUE"""),104)</f>
        <v>104</v>
      </c>
      <c r="Q342" s="8">
        <f ca="1">IFERROR(__xludf.DUMMYFUNCTION("""COMPUTED_VALUE"""),8)</f>
        <v>8</v>
      </c>
      <c r="R342" s="8">
        <f ca="1">IFERROR(__xludf.DUMMYFUNCTION("""COMPUTED_VALUE"""),832)</f>
        <v>832</v>
      </c>
      <c r="S342" s="8">
        <f ca="1">IFERROR(__xludf.DUMMYFUNCTION("""COMPUTED_VALUE"""),12.8)</f>
        <v>12.8</v>
      </c>
      <c r="T342" s="8">
        <f ca="1">IFERROR(__xludf.DUMMYFUNCTION("""COMPUTED_VALUE"""),844.8)</f>
        <v>844.8</v>
      </c>
      <c r="U342" s="8"/>
      <c r="V342" s="8"/>
      <c r="W342" s="8"/>
      <c r="X342" s="8"/>
      <c r="Y342" s="8"/>
      <c r="Z342" s="37" t="str">
        <f ca="1">IFERROR(__xludf.DUMMYFUNCTION("""COMPUTED_VALUE"""),"JU372")</f>
        <v>JU372</v>
      </c>
      <c r="AA342" s="37" t="str">
        <f ca="1">IFERROR(__xludf.DUMMYFUNCTION("""COMPUTED_VALUE"""),"27/10/2024")</f>
        <v>27/10/2024</v>
      </c>
      <c r="AB342" s="64">
        <f ca="1">IFERROR(__xludf.DUMMYFUNCTION("""COMPUTED_VALUE"""),0.71875)</f>
        <v>0.71875</v>
      </c>
    </row>
    <row r="343" spans="1:28" ht="14.55" customHeight="1" x14ac:dyDescent="0.3">
      <c r="A343" s="8">
        <v>51</v>
      </c>
      <c r="B343" s="8"/>
      <c r="C343" s="8"/>
      <c r="D343" s="13">
        <f ca="1">IFERROR(__xludf.DUMMYFUNCTION("""COMPUTED_VALUE"""),45329)</f>
        <v>45329</v>
      </c>
      <c r="E343" s="16" t="str">
        <f ca="1">IFERROR(__xludf.DUMMYFUNCTION("""COMPUTED_VALUE"""),"Player")</f>
        <v>Player</v>
      </c>
      <c r="F343" s="8" t="str">
        <f ca="1">IFERROR(__xludf.DUMMYFUNCTION("""COMPUTED_VALUE"""),"Nielsen, Lars Aaes")</f>
        <v>Nielsen, Lars Aaes</v>
      </c>
      <c r="G343" s="16" t="str">
        <f ca="1">IFERROR(__xludf.DUMMYFUNCTION("""COMPUTED_VALUE"""),"DEN")</f>
        <v>DEN</v>
      </c>
      <c r="H343" s="8"/>
      <c r="I343" s="8">
        <f ca="1">IFERROR(__xludf.DUMMYFUNCTION("""COMPUTED_VALUE"""),100)</f>
        <v>100</v>
      </c>
      <c r="J343" s="8"/>
      <c r="K343" s="8"/>
      <c r="L343" s="8" t="str">
        <f ca="1">IFERROR(__xludf.DUMMYFUNCTION("""COMPUTED_VALUE"""),"Skakklubben Nordkalotten")</f>
        <v>Skakklubben Nordkalotten</v>
      </c>
      <c r="M343" s="16" t="str">
        <f ca="1">IFERROR(__xludf.DUMMYFUNCTION("""COMPUTED_VALUE"""),"DEN")</f>
        <v>DEN</v>
      </c>
      <c r="N343" s="16" t="str">
        <f ca="1">IFERROR(__xludf.DUMMYFUNCTION("""COMPUTED_VALUE"""),"Fontana")</f>
        <v>Fontana</v>
      </c>
      <c r="O343" s="8"/>
      <c r="P343" s="8">
        <f ca="1">IFERROR(__xludf.DUMMYFUNCTION("""COMPUTED_VALUE"""),104)</f>
        <v>104</v>
      </c>
      <c r="Q343" s="8">
        <f ca="1">IFERROR(__xludf.DUMMYFUNCTION("""COMPUTED_VALUE"""),8)</f>
        <v>8</v>
      </c>
      <c r="R343" s="8">
        <f ca="1">IFERROR(__xludf.DUMMYFUNCTION("""COMPUTED_VALUE"""),832)</f>
        <v>832</v>
      </c>
      <c r="S343" s="8">
        <f ca="1">IFERROR(__xludf.DUMMYFUNCTION("""COMPUTED_VALUE"""),12.8)</f>
        <v>12.8</v>
      </c>
      <c r="T343" s="8">
        <f ca="1">IFERROR(__xludf.DUMMYFUNCTION("""COMPUTED_VALUE"""),844.8)</f>
        <v>844.8</v>
      </c>
      <c r="U343" s="8"/>
      <c r="V343" s="8"/>
      <c r="W343" s="8"/>
      <c r="X343" s="8"/>
      <c r="Y343" s="8"/>
      <c r="Z343" s="37" t="str">
        <f ca="1">IFERROR(__xludf.DUMMYFUNCTION("""COMPUTED_VALUE"""),"JU372")</f>
        <v>JU372</v>
      </c>
      <c r="AA343" s="37" t="str">
        <f ca="1">IFERROR(__xludf.DUMMYFUNCTION("""COMPUTED_VALUE"""),"27/10/2024")</f>
        <v>27/10/2024</v>
      </c>
      <c r="AB343" s="64">
        <f ca="1">IFERROR(__xludf.DUMMYFUNCTION("""COMPUTED_VALUE"""),0.71875)</f>
        <v>0.71875</v>
      </c>
    </row>
    <row r="344" spans="1:28" ht="14.55" customHeight="1" x14ac:dyDescent="0.3">
      <c r="A344" s="8">
        <v>52</v>
      </c>
      <c r="B344" s="8"/>
      <c r="C344" s="8"/>
      <c r="D344" s="13">
        <f ca="1">IFERROR(__xludf.DUMMYFUNCTION("""COMPUTED_VALUE"""),45329)</f>
        <v>45329</v>
      </c>
      <c r="E344" s="16" t="str">
        <f ca="1">IFERROR(__xludf.DUMMYFUNCTION("""COMPUTED_VALUE"""),"Player")</f>
        <v>Player</v>
      </c>
      <c r="F344" s="8" t="str">
        <f ca="1">IFERROR(__xludf.DUMMYFUNCTION("""COMPUTED_VALUE"""),"Noer, Martin Stampe")</f>
        <v>Noer, Martin Stampe</v>
      </c>
      <c r="G344" s="16" t="str">
        <f ca="1">IFERROR(__xludf.DUMMYFUNCTION("""COMPUTED_VALUE"""),"DEN")</f>
        <v>DEN</v>
      </c>
      <c r="H344" s="8"/>
      <c r="I344" s="8">
        <f ca="1">IFERROR(__xludf.DUMMYFUNCTION("""COMPUTED_VALUE"""),100)</f>
        <v>100</v>
      </c>
      <c r="J344" s="8"/>
      <c r="K344" s="8"/>
      <c r="L344" s="8" t="str">
        <f ca="1">IFERROR(__xludf.DUMMYFUNCTION("""COMPUTED_VALUE"""),"Skakklubben Nordkalotten")</f>
        <v>Skakklubben Nordkalotten</v>
      </c>
      <c r="M344" s="16" t="str">
        <f ca="1">IFERROR(__xludf.DUMMYFUNCTION("""COMPUTED_VALUE"""),"DEN")</f>
        <v>DEN</v>
      </c>
      <c r="N344" s="16" t="str">
        <f ca="1">IFERROR(__xludf.DUMMYFUNCTION("""COMPUTED_VALUE"""),"Fontana")</f>
        <v>Fontana</v>
      </c>
      <c r="O344" s="8"/>
      <c r="P344" s="8">
        <f ca="1">IFERROR(__xludf.DUMMYFUNCTION("""COMPUTED_VALUE"""),104)</f>
        <v>104</v>
      </c>
      <c r="Q344" s="8">
        <f ca="1">IFERROR(__xludf.DUMMYFUNCTION("""COMPUTED_VALUE"""),8)</f>
        <v>8</v>
      </c>
      <c r="R344" s="8">
        <f ca="1">IFERROR(__xludf.DUMMYFUNCTION("""COMPUTED_VALUE"""),832)</f>
        <v>832</v>
      </c>
      <c r="S344" s="8">
        <f ca="1">IFERROR(__xludf.DUMMYFUNCTION("""COMPUTED_VALUE"""),12.8)</f>
        <v>12.8</v>
      </c>
      <c r="T344" s="8">
        <f ca="1">IFERROR(__xludf.DUMMYFUNCTION("""COMPUTED_VALUE"""),844.8)</f>
        <v>844.8</v>
      </c>
      <c r="U344" s="8"/>
      <c r="V344" s="8"/>
      <c r="W344" s="8"/>
      <c r="X344" s="8"/>
      <c r="Y344" s="8"/>
      <c r="Z344" s="37" t="str">
        <f ca="1">IFERROR(__xludf.DUMMYFUNCTION("""COMPUTED_VALUE"""),"JU372")</f>
        <v>JU372</v>
      </c>
      <c r="AA344" s="37" t="str">
        <f ca="1">IFERROR(__xludf.DUMMYFUNCTION("""COMPUTED_VALUE"""),"27/10/2024")</f>
        <v>27/10/2024</v>
      </c>
      <c r="AB344" s="64">
        <f ca="1">IFERROR(__xludf.DUMMYFUNCTION("""COMPUTED_VALUE"""),0.71875)</f>
        <v>0.71875</v>
      </c>
    </row>
    <row r="345" spans="1:28" ht="14.55" customHeight="1" x14ac:dyDescent="0.3">
      <c r="A345" s="8">
        <v>53</v>
      </c>
      <c r="B345" s="8"/>
      <c r="C345" s="8"/>
      <c r="D345" s="13">
        <f ca="1">IFERROR(__xludf.DUMMYFUNCTION("""COMPUTED_VALUE"""),45329)</f>
        <v>45329</v>
      </c>
      <c r="E345" s="16" t="str">
        <f ca="1">IFERROR(__xludf.DUMMYFUNCTION("""COMPUTED_VALUE"""),"Player")</f>
        <v>Player</v>
      </c>
      <c r="F345" s="8" t="str">
        <f ca="1">IFERROR(__xludf.DUMMYFUNCTION("""COMPUTED_VALUE"""),"Andersen, Peter Vestergaard")</f>
        <v>Andersen, Peter Vestergaard</v>
      </c>
      <c r="G345" s="16" t="str">
        <f ca="1">IFERROR(__xludf.DUMMYFUNCTION("""COMPUTED_VALUE"""),"DEN")</f>
        <v>DEN</v>
      </c>
      <c r="H345" s="8"/>
      <c r="I345" s="8">
        <f ca="1">IFERROR(__xludf.DUMMYFUNCTION("""COMPUTED_VALUE"""),100)</f>
        <v>100</v>
      </c>
      <c r="J345" s="8"/>
      <c r="K345" s="8"/>
      <c r="L345" s="8" t="str">
        <f ca="1">IFERROR(__xludf.DUMMYFUNCTION("""COMPUTED_VALUE"""),"Skakklubben Nordkalotten")</f>
        <v>Skakklubben Nordkalotten</v>
      </c>
      <c r="M345" s="16" t="str">
        <f ca="1">IFERROR(__xludf.DUMMYFUNCTION("""COMPUTED_VALUE"""),"DEN")</f>
        <v>DEN</v>
      </c>
      <c r="N345" s="16" t="str">
        <f ca="1">IFERROR(__xludf.DUMMYFUNCTION("""COMPUTED_VALUE"""),"Fontana")</f>
        <v>Fontana</v>
      </c>
      <c r="O345" s="8"/>
      <c r="P345" s="8">
        <f ca="1">IFERROR(__xludf.DUMMYFUNCTION("""COMPUTED_VALUE"""),104)</f>
        <v>104</v>
      </c>
      <c r="Q345" s="8">
        <f ca="1">IFERROR(__xludf.DUMMYFUNCTION("""COMPUTED_VALUE"""),5)</f>
        <v>5</v>
      </c>
      <c r="R345" s="8">
        <f ca="1">IFERROR(__xludf.DUMMYFUNCTION("""COMPUTED_VALUE"""),520)</f>
        <v>520</v>
      </c>
      <c r="S345" s="8">
        <f ca="1">IFERROR(__xludf.DUMMYFUNCTION("""COMPUTED_VALUE"""),8)</f>
        <v>8</v>
      </c>
      <c r="T345" s="8">
        <f ca="1">IFERROR(__xludf.DUMMYFUNCTION("""COMPUTED_VALUE"""),528)</f>
        <v>528</v>
      </c>
      <c r="U345" s="8"/>
      <c r="V345" s="8"/>
      <c r="W345" s="8"/>
      <c r="X345" s="8"/>
      <c r="Y345" s="8"/>
      <c r="Z345" s="37" t="str">
        <f ca="1">IFERROR(__xludf.DUMMYFUNCTION("""COMPUTED_VALUE"""),"JU372")</f>
        <v>JU372</v>
      </c>
      <c r="AA345" s="37" t="str">
        <f ca="1">IFERROR(__xludf.DUMMYFUNCTION("""COMPUTED_VALUE"""),"27/10/2024")</f>
        <v>27/10/2024</v>
      </c>
      <c r="AB345" s="64">
        <f ca="1">IFERROR(__xludf.DUMMYFUNCTION("""COMPUTED_VALUE"""),0.71875)</f>
        <v>0.71875</v>
      </c>
    </row>
    <row r="346" spans="1:28" ht="14.55" customHeight="1" x14ac:dyDescent="0.3">
      <c r="A346" s="8">
        <v>54</v>
      </c>
      <c r="B346" s="8"/>
      <c r="C346" s="8"/>
      <c r="D346" s="8" t="str">
        <f ca="1">IFERROR(__xludf.DUMMYFUNCTION("""COMPUTED_VALUE"""),"29/07/2024")</f>
        <v>29/07/2024</v>
      </c>
      <c r="E346" s="16" t="str">
        <f ca="1">IFERROR(__xludf.DUMMYFUNCTION("""COMPUTED_VALUE"""),"Player")</f>
        <v>Player</v>
      </c>
      <c r="F346" s="8" t="str">
        <f ca="1">IFERROR(__xludf.DUMMYFUNCTION("""COMPUTED_VALUE"""),"Byklum, Bjornar")</f>
        <v>Byklum, Bjornar</v>
      </c>
      <c r="G346" s="16" t="str">
        <f ca="1">IFERROR(__xludf.DUMMYFUNCTION("""COMPUTED_VALUE"""),"NOR")</f>
        <v>NOR</v>
      </c>
      <c r="H346" s="8"/>
      <c r="I346" s="8">
        <f ca="1">IFERROR(__xludf.DUMMYFUNCTION("""COMPUTED_VALUE"""),100)</f>
        <v>100</v>
      </c>
      <c r="J346" s="8"/>
      <c r="K346" s="8"/>
      <c r="L346" s="8" t="str">
        <f ca="1">IFERROR(__xludf.DUMMYFUNCTION("""COMPUTED_VALUE"""),"SOSS")</f>
        <v>SOSS</v>
      </c>
      <c r="M346" s="16" t="str">
        <f ca="1">IFERROR(__xludf.DUMMYFUNCTION("""COMPUTED_VALUE"""),"NOR")</f>
        <v>NOR</v>
      </c>
      <c r="N346" s="16" t="str">
        <f ca="1">IFERROR(__xludf.DUMMYFUNCTION("""COMPUTED_VALUE"""),"Tonanti")</f>
        <v>Tonanti</v>
      </c>
      <c r="O346" s="8"/>
      <c r="P346" s="8">
        <f ca="1">IFERROR(__xludf.DUMMYFUNCTION("""COMPUTED_VALUE"""),108)</f>
        <v>108</v>
      </c>
      <c r="Q346" s="8">
        <f ca="1">IFERROR(__xludf.DUMMYFUNCTION("""COMPUTED_VALUE"""),8)</f>
        <v>8</v>
      </c>
      <c r="R346" s="8">
        <f ca="1">IFERROR(__xludf.DUMMYFUNCTION("""COMPUTED_VALUE"""),864)</f>
        <v>864</v>
      </c>
      <c r="S346" s="8">
        <f ca="1">IFERROR(__xludf.DUMMYFUNCTION("""COMPUTED_VALUE"""),12.8)</f>
        <v>12.8</v>
      </c>
      <c r="T346" s="8">
        <f ca="1">IFERROR(__xludf.DUMMYFUNCTION("""COMPUTED_VALUE"""),876.8)</f>
        <v>876.8</v>
      </c>
      <c r="U346" s="8"/>
      <c r="V346" s="8"/>
      <c r="W346" s="8"/>
      <c r="X346" s="8"/>
      <c r="Y346" s="8"/>
      <c r="Z346" s="37" t="str">
        <f ca="1">IFERROR(__xludf.DUMMYFUNCTION("""COMPUTED_VALUE"""),"JU392")</f>
        <v>JU392</v>
      </c>
      <c r="AA346" s="37" t="str">
        <f ca="1">IFERROR(__xludf.DUMMYFUNCTION("""COMPUTED_VALUE"""),"27/10/2024")</f>
        <v>27/10/2024</v>
      </c>
      <c r="AB346" s="64">
        <f ca="1">IFERROR(__xludf.DUMMYFUNCTION("""COMPUTED_VALUE"""),0.71875)</f>
        <v>0.71875</v>
      </c>
    </row>
    <row r="347" spans="1:28" ht="14.55" customHeight="1" x14ac:dyDescent="0.3">
      <c r="A347" s="8">
        <v>55</v>
      </c>
      <c r="B347" s="8"/>
      <c r="C347" s="8"/>
      <c r="D347" s="8" t="str">
        <f ca="1">IFERROR(__xludf.DUMMYFUNCTION("""COMPUTED_VALUE"""),"29/07/2024")</f>
        <v>29/07/2024</v>
      </c>
      <c r="E347" s="16" t="str">
        <f ca="1">IFERROR(__xludf.DUMMYFUNCTION("""COMPUTED_VALUE"""),"Player")</f>
        <v>Player</v>
      </c>
      <c r="F347" s="8" t="str">
        <f ca="1">IFERROR(__xludf.DUMMYFUNCTION("""COMPUTED_VALUE"""),"Astrup, Kim Chr.")</f>
        <v>Astrup, Kim Chr.</v>
      </c>
      <c r="G347" s="16" t="str">
        <f ca="1">IFERROR(__xludf.DUMMYFUNCTION("""COMPUTED_VALUE"""),"NOR")</f>
        <v>NOR</v>
      </c>
      <c r="H347" s="8"/>
      <c r="I347" s="8">
        <f ca="1">IFERROR(__xludf.DUMMYFUNCTION("""COMPUTED_VALUE"""),100)</f>
        <v>100</v>
      </c>
      <c r="J347" s="8"/>
      <c r="K347" s="8"/>
      <c r="L347" s="8" t="str">
        <f ca="1">IFERROR(__xludf.DUMMYFUNCTION("""COMPUTED_VALUE"""),"SOSS")</f>
        <v>SOSS</v>
      </c>
      <c r="M347" s="16" t="str">
        <f ca="1">IFERROR(__xludf.DUMMYFUNCTION("""COMPUTED_VALUE"""),"NOR")</f>
        <v>NOR</v>
      </c>
      <c r="N347" s="16" t="str">
        <f ca="1">IFERROR(__xludf.DUMMYFUNCTION("""COMPUTED_VALUE"""),"Tonanti")</f>
        <v>Tonanti</v>
      </c>
      <c r="O347" s="8" t="str">
        <f ca="1">IFERROR(__xludf.DUMMYFUNCTION("""COMPUTED_VALUE"""),"Leer 23/10")</f>
        <v>Leer 23/10</v>
      </c>
      <c r="P347" s="8">
        <f ca="1">IFERROR(__xludf.DUMMYFUNCTION("""COMPUTED_VALUE"""),108)</f>
        <v>108</v>
      </c>
      <c r="Q347" s="8">
        <f ca="1">IFERROR(__xludf.DUMMYFUNCTION("""COMPUTED_VALUE"""),4)</f>
        <v>4</v>
      </c>
      <c r="R347" s="8">
        <f ca="1">IFERROR(__xludf.DUMMYFUNCTION("""COMPUTED_VALUE"""),432)</f>
        <v>432</v>
      </c>
      <c r="S347" s="8">
        <f ca="1">IFERROR(__xludf.DUMMYFUNCTION("""COMPUTED_VALUE"""),6.4)</f>
        <v>6.4</v>
      </c>
      <c r="T347" s="8">
        <f ca="1">IFERROR(__xludf.DUMMYFUNCTION("""COMPUTED_VALUE"""),438.4)</f>
        <v>438.4</v>
      </c>
      <c r="U347" s="8"/>
      <c r="V347" s="8"/>
      <c r="W347" s="8"/>
      <c r="X347" s="8"/>
      <c r="Y347" s="8"/>
      <c r="Z347" s="37" t="str">
        <f ca="1">IFERROR(__xludf.DUMMYFUNCTION("""COMPUTED_VALUE"""),"JU392")</f>
        <v>JU392</v>
      </c>
      <c r="AA347" s="37" t="str">
        <f ca="1">IFERROR(__xludf.DUMMYFUNCTION("""COMPUTED_VALUE"""),"27/10/2024")</f>
        <v>27/10/2024</v>
      </c>
      <c r="AB347" s="64">
        <f ca="1">IFERROR(__xludf.DUMMYFUNCTION("""COMPUTED_VALUE"""),0.71875)</f>
        <v>0.71875</v>
      </c>
    </row>
    <row r="348" spans="1:28" ht="14.55" customHeight="1" x14ac:dyDescent="0.3">
      <c r="A348" s="8">
        <v>56</v>
      </c>
      <c r="B348" s="8"/>
      <c r="C348" s="8"/>
      <c r="D348" s="8" t="str">
        <f ca="1">IFERROR(__xludf.DUMMYFUNCTION("""COMPUTED_VALUE"""),"29/07/2024")</f>
        <v>29/07/2024</v>
      </c>
      <c r="E348" s="16" t="str">
        <f ca="1">IFERROR(__xludf.DUMMYFUNCTION("""COMPUTED_VALUE"""),"Player")</f>
        <v>Player</v>
      </c>
      <c r="F348" s="8" t="str">
        <f ca="1">IFERROR(__xludf.DUMMYFUNCTION("""COMPUTED_VALUE"""),"Harestad, Hans Krogh")</f>
        <v>Harestad, Hans Krogh</v>
      </c>
      <c r="G348" s="16" t="str">
        <f ca="1">IFERROR(__xludf.DUMMYFUNCTION("""COMPUTED_VALUE"""),"NOR")</f>
        <v>NOR</v>
      </c>
      <c r="H348" s="8"/>
      <c r="I348" s="8">
        <f ca="1">IFERROR(__xludf.DUMMYFUNCTION("""COMPUTED_VALUE"""),100)</f>
        <v>100</v>
      </c>
      <c r="J348" s="8"/>
      <c r="K348" s="8"/>
      <c r="L348" s="8" t="str">
        <f ca="1">IFERROR(__xludf.DUMMYFUNCTION("""COMPUTED_VALUE"""),"SOSS")</f>
        <v>SOSS</v>
      </c>
      <c r="M348" s="16" t="str">
        <f ca="1">IFERROR(__xludf.DUMMYFUNCTION("""COMPUTED_VALUE"""),"NOR")</f>
        <v>NOR</v>
      </c>
      <c r="N348" s="16" t="str">
        <f ca="1">IFERROR(__xludf.DUMMYFUNCTION("""COMPUTED_VALUE"""),"Tonanti")</f>
        <v>Tonanti</v>
      </c>
      <c r="O348" s="8"/>
      <c r="P348" s="8">
        <f ca="1">IFERROR(__xludf.DUMMYFUNCTION("""COMPUTED_VALUE"""),108)</f>
        <v>108</v>
      </c>
      <c r="Q348" s="8">
        <f ca="1">IFERROR(__xludf.DUMMYFUNCTION("""COMPUTED_VALUE"""),8)</f>
        <v>8</v>
      </c>
      <c r="R348" s="8">
        <f ca="1">IFERROR(__xludf.DUMMYFUNCTION("""COMPUTED_VALUE"""),864)</f>
        <v>864</v>
      </c>
      <c r="S348" s="8">
        <f ca="1">IFERROR(__xludf.DUMMYFUNCTION("""COMPUTED_VALUE"""),12.8)</f>
        <v>12.8</v>
      </c>
      <c r="T348" s="8">
        <f ca="1">IFERROR(__xludf.DUMMYFUNCTION("""COMPUTED_VALUE"""),876.8)</f>
        <v>876.8</v>
      </c>
      <c r="U348" s="8"/>
      <c r="V348" s="8"/>
      <c r="W348" s="8"/>
      <c r="X348" s="8"/>
      <c r="Y348" s="8"/>
      <c r="Z348" s="37" t="str">
        <f ca="1">IFERROR(__xludf.DUMMYFUNCTION("""COMPUTED_VALUE"""),"JU392")</f>
        <v>JU392</v>
      </c>
      <c r="AA348" s="37" t="str">
        <f ca="1">IFERROR(__xludf.DUMMYFUNCTION("""COMPUTED_VALUE"""),"27/10/2024")</f>
        <v>27/10/2024</v>
      </c>
      <c r="AB348" s="64">
        <f ca="1">IFERROR(__xludf.DUMMYFUNCTION("""COMPUTED_VALUE"""),0.71875)</f>
        <v>0.71875</v>
      </c>
    </row>
    <row r="349" spans="1:28" ht="14.55" customHeight="1" x14ac:dyDescent="0.3">
      <c r="A349" s="8">
        <v>57</v>
      </c>
      <c r="B349" s="8"/>
      <c r="C349" s="8"/>
      <c r="D349" s="8" t="str">
        <f ca="1">IFERROR(__xludf.DUMMYFUNCTION("""COMPUTED_VALUE"""),"29/07/2024")</f>
        <v>29/07/2024</v>
      </c>
      <c r="E349" s="16" t="str">
        <f ca="1">IFERROR(__xludf.DUMMYFUNCTION("""COMPUTED_VALUE"""),"Player")</f>
        <v>Player</v>
      </c>
      <c r="F349" s="8" t="str">
        <f ca="1">IFERROR(__xludf.DUMMYFUNCTION("""COMPUTED_VALUE"""),"Grebstad, Kjell Borre")</f>
        <v>Grebstad, Kjell Borre</v>
      </c>
      <c r="G349" s="16" t="str">
        <f ca="1">IFERROR(__xludf.DUMMYFUNCTION("""COMPUTED_VALUE"""),"NOR")</f>
        <v>NOR</v>
      </c>
      <c r="H349" s="8"/>
      <c r="I349" s="8">
        <f ca="1">IFERROR(__xludf.DUMMYFUNCTION("""COMPUTED_VALUE"""),100)</f>
        <v>100</v>
      </c>
      <c r="J349" s="8"/>
      <c r="K349" s="8"/>
      <c r="L349" s="8" t="str">
        <f ca="1">IFERROR(__xludf.DUMMYFUNCTION("""COMPUTED_VALUE"""),"SOSS")</f>
        <v>SOSS</v>
      </c>
      <c r="M349" s="16" t="str">
        <f ca="1">IFERROR(__xludf.DUMMYFUNCTION("""COMPUTED_VALUE"""),"NOR")</f>
        <v>NOR</v>
      </c>
      <c r="N349" s="16" t="str">
        <f ca="1">IFERROR(__xludf.DUMMYFUNCTION("""COMPUTED_VALUE"""),"Tonanti")</f>
        <v>Tonanti</v>
      </c>
      <c r="O349" s="8"/>
      <c r="P349" s="8">
        <f ca="1">IFERROR(__xludf.DUMMYFUNCTION("""COMPUTED_VALUE"""),108)</f>
        <v>108</v>
      </c>
      <c r="Q349" s="8">
        <f ca="1">IFERROR(__xludf.DUMMYFUNCTION("""COMPUTED_VALUE"""),8)</f>
        <v>8</v>
      </c>
      <c r="R349" s="8">
        <f ca="1">IFERROR(__xludf.DUMMYFUNCTION("""COMPUTED_VALUE"""),864)</f>
        <v>864</v>
      </c>
      <c r="S349" s="8">
        <f ca="1">IFERROR(__xludf.DUMMYFUNCTION("""COMPUTED_VALUE"""),12.8)</f>
        <v>12.8</v>
      </c>
      <c r="T349" s="8">
        <f ca="1">IFERROR(__xludf.DUMMYFUNCTION("""COMPUTED_VALUE"""),876.8)</f>
        <v>876.8</v>
      </c>
      <c r="U349" s="8"/>
      <c r="V349" s="8"/>
      <c r="W349" s="8"/>
      <c r="X349" s="8"/>
      <c r="Y349" s="8"/>
      <c r="Z349" s="37" t="str">
        <f ca="1">IFERROR(__xludf.DUMMYFUNCTION("""COMPUTED_VALUE"""),"JU392")</f>
        <v>JU392</v>
      </c>
      <c r="AA349" s="37" t="str">
        <f ca="1">IFERROR(__xludf.DUMMYFUNCTION("""COMPUTED_VALUE"""),"27/10/2024")</f>
        <v>27/10/2024</v>
      </c>
      <c r="AB349" s="64">
        <f ca="1">IFERROR(__xludf.DUMMYFUNCTION("""COMPUTED_VALUE"""),0.71875)</f>
        <v>0.71875</v>
      </c>
    </row>
    <row r="350" spans="1:28" ht="14.55" customHeight="1" x14ac:dyDescent="0.3">
      <c r="A350" s="8">
        <v>58</v>
      </c>
      <c r="B350" s="8"/>
      <c r="C350" s="8"/>
      <c r="D350" s="8" t="str">
        <f ca="1">IFERROR(__xludf.DUMMYFUNCTION("""COMPUTED_VALUE"""),"29/07/2024")</f>
        <v>29/07/2024</v>
      </c>
      <c r="E350" s="16" t="str">
        <f ca="1">IFERROR(__xludf.DUMMYFUNCTION("""COMPUTED_VALUE"""),"Player")</f>
        <v>Player</v>
      </c>
      <c r="F350" s="8" t="str">
        <f ca="1">IFERROR(__xludf.DUMMYFUNCTION("""COMPUTED_VALUE"""),"Andreassen, Pal Morten")</f>
        <v>Andreassen, Pal Morten</v>
      </c>
      <c r="G350" s="16" t="str">
        <f ca="1">IFERROR(__xludf.DUMMYFUNCTION("""COMPUTED_VALUE"""),"NOR")</f>
        <v>NOR</v>
      </c>
      <c r="H350" s="8"/>
      <c r="I350" s="8">
        <f ca="1">IFERROR(__xludf.DUMMYFUNCTION("""COMPUTED_VALUE"""),100)</f>
        <v>100</v>
      </c>
      <c r="J350" s="8"/>
      <c r="K350" s="8"/>
      <c r="L350" s="8" t="str">
        <f ca="1">IFERROR(__xludf.DUMMYFUNCTION("""COMPUTED_VALUE"""),"SOSS")</f>
        <v>SOSS</v>
      </c>
      <c r="M350" s="16" t="str">
        <f ca="1">IFERROR(__xludf.DUMMYFUNCTION("""COMPUTED_VALUE"""),"NOR")</f>
        <v>NOR</v>
      </c>
      <c r="N350" s="16" t="str">
        <f ca="1">IFERROR(__xludf.DUMMYFUNCTION("""COMPUTED_VALUE"""),"Tonanti")</f>
        <v>Tonanti</v>
      </c>
      <c r="O350" s="8"/>
      <c r="P350" s="8">
        <f ca="1">IFERROR(__xludf.DUMMYFUNCTION("""COMPUTED_VALUE"""),108)</f>
        <v>108</v>
      </c>
      <c r="Q350" s="8">
        <f ca="1">IFERROR(__xludf.DUMMYFUNCTION("""COMPUTED_VALUE"""),8)</f>
        <v>8</v>
      </c>
      <c r="R350" s="8">
        <f ca="1">IFERROR(__xludf.DUMMYFUNCTION("""COMPUTED_VALUE"""),864)</f>
        <v>864</v>
      </c>
      <c r="S350" s="8">
        <f ca="1">IFERROR(__xludf.DUMMYFUNCTION("""COMPUTED_VALUE"""),12.8)</f>
        <v>12.8</v>
      </c>
      <c r="T350" s="8">
        <f ca="1">IFERROR(__xludf.DUMMYFUNCTION("""COMPUTED_VALUE"""),876.8)</f>
        <v>876.8</v>
      </c>
      <c r="U350" s="8"/>
      <c r="V350" s="8"/>
      <c r="W350" s="8"/>
      <c r="X350" s="8"/>
      <c r="Y350" s="8"/>
      <c r="Z350" s="37" t="str">
        <f ca="1">IFERROR(__xludf.DUMMYFUNCTION("""COMPUTED_VALUE"""),"JU392")</f>
        <v>JU392</v>
      </c>
      <c r="AA350" s="37" t="str">
        <f ca="1">IFERROR(__xludf.DUMMYFUNCTION("""COMPUTED_VALUE"""),"27/10/2024")</f>
        <v>27/10/2024</v>
      </c>
      <c r="AB350" s="64">
        <f ca="1">IFERROR(__xludf.DUMMYFUNCTION("""COMPUTED_VALUE"""),0.71875)</f>
        <v>0.71875</v>
      </c>
    </row>
    <row r="351" spans="1:28" ht="14.55" customHeight="1" x14ac:dyDescent="0.3">
      <c r="A351" s="8">
        <v>59</v>
      </c>
      <c r="B351" s="8"/>
      <c r="C351" s="8"/>
      <c r="D351" s="8" t="str">
        <f ca="1">IFERROR(__xludf.DUMMYFUNCTION("""COMPUTED_VALUE"""),"29/07/2024")</f>
        <v>29/07/2024</v>
      </c>
      <c r="E351" s="16" t="str">
        <f ca="1">IFERROR(__xludf.DUMMYFUNCTION("""COMPUTED_VALUE"""),"Player")</f>
        <v>Player</v>
      </c>
      <c r="F351" s="8" t="str">
        <f ca="1">IFERROR(__xludf.DUMMYFUNCTION("""COMPUTED_VALUE"""),"Vagle, Raymond")</f>
        <v>Vagle, Raymond</v>
      </c>
      <c r="G351" s="16" t="str">
        <f ca="1">IFERROR(__xludf.DUMMYFUNCTION("""COMPUTED_VALUE"""),"NOR")</f>
        <v>NOR</v>
      </c>
      <c r="H351" s="8"/>
      <c r="I351" s="8">
        <f ca="1">IFERROR(__xludf.DUMMYFUNCTION("""COMPUTED_VALUE"""),100)</f>
        <v>100</v>
      </c>
      <c r="J351" s="8"/>
      <c r="K351" s="8"/>
      <c r="L351" s="8" t="str">
        <f ca="1">IFERROR(__xludf.DUMMYFUNCTION("""COMPUTED_VALUE"""),"SOSS")</f>
        <v>SOSS</v>
      </c>
      <c r="M351" s="16" t="str">
        <f ca="1">IFERROR(__xludf.DUMMYFUNCTION("""COMPUTED_VALUE"""),"NOR")</f>
        <v>NOR</v>
      </c>
      <c r="N351" s="16" t="str">
        <f ca="1">IFERROR(__xludf.DUMMYFUNCTION("""COMPUTED_VALUE"""),"Tonanti")</f>
        <v>Tonanti</v>
      </c>
      <c r="O351" s="8"/>
      <c r="P351" s="8">
        <f ca="1">IFERROR(__xludf.DUMMYFUNCTION("""COMPUTED_VALUE"""),108)</f>
        <v>108</v>
      </c>
      <c r="Q351" s="8">
        <f ca="1">IFERROR(__xludf.DUMMYFUNCTION("""COMPUTED_VALUE"""),8)</f>
        <v>8</v>
      </c>
      <c r="R351" s="8">
        <f ca="1">IFERROR(__xludf.DUMMYFUNCTION("""COMPUTED_VALUE"""),864)</f>
        <v>864</v>
      </c>
      <c r="S351" s="8">
        <f ca="1">IFERROR(__xludf.DUMMYFUNCTION("""COMPUTED_VALUE"""),12.8)</f>
        <v>12.8</v>
      </c>
      <c r="T351" s="8">
        <f ca="1">IFERROR(__xludf.DUMMYFUNCTION("""COMPUTED_VALUE"""),876.8)</f>
        <v>876.8</v>
      </c>
      <c r="U351" s="8"/>
      <c r="V351" s="8"/>
      <c r="W351" s="8"/>
      <c r="X351" s="8"/>
      <c r="Y351" s="8"/>
      <c r="Z351" s="37" t="str">
        <f ca="1">IFERROR(__xludf.DUMMYFUNCTION("""COMPUTED_VALUE"""),"JU392")</f>
        <v>JU392</v>
      </c>
      <c r="AA351" s="37" t="str">
        <f ca="1">IFERROR(__xludf.DUMMYFUNCTION("""COMPUTED_VALUE"""),"27/10/2024")</f>
        <v>27/10/2024</v>
      </c>
      <c r="AB351" s="64">
        <f ca="1">IFERROR(__xludf.DUMMYFUNCTION("""COMPUTED_VALUE"""),0.71875)</f>
        <v>0.71875</v>
      </c>
    </row>
    <row r="352" spans="1:28" ht="14.55" customHeight="1" x14ac:dyDescent="0.3">
      <c r="A352" s="8">
        <v>60</v>
      </c>
      <c r="B352" s="8"/>
      <c r="C352" s="8"/>
      <c r="D352" s="14">
        <f ca="1">IFERROR(__xludf.DUMMYFUNCTION("""COMPUTED_VALUE"""),45606)</f>
        <v>45606</v>
      </c>
      <c r="E352" s="16" t="str">
        <f ca="1">IFERROR(__xludf.DUMMYFUNCTION("""COMPUTED_VALUE"""),"Player")</f>
        <v>Player</v>
      </c>
      <c r="F352" s="8" t="str">
        <f ca="1">IFERROR(__xludf.DUMMYFUNCTION("""COMPUTED_VALUE"""),"Van der Hagen, Loek")</f>
        <v>Van der Hagen, Loek</v>
      </c>
      <c r="G352" s="16" t="str">
        <f ca="1">IFERROR(__xludf.DUMMYFUNCTION("""COMPUTED_VALUE"""),"NED")</f>
        <v>NED</v>
      </c>
      <c r="H352" s="8"/>
      <c r="I352" s="8">
        <f ca="1">IFERROR(__xludf.DUMMYFUNCTION("""COMPUTED_VALUE"""),100)</f>
        <v>100</v>
      </c>
      <c r="J352" s="8"/>
      <c r="K352" s="8"/>
      <c r="L352" s="8" t="str">
        <f ca="1">IFERROR(__xludf.DUMMYFUNCTION("""COMPUTED_VALUE"""),"SV Werder Bremen")</f>
        <v>SV Werder Bremen</v>
      </c>
      <c r="M352" s="16" t="str">
        <f ca="1">IFERROR(__xludf.DUMMYFUNCTION("""COMPUTED_VALUE"""),"GER")</f>
        <v>GER</v>
      </c>
      <c r="N352" s="16" t="str">
        <f ca="1">IFERROR(__xludf.DUMMYFUNCTION("""COMPUTED_VALUE"""),"Fontana")</f>
        <v>Fontana</v>
      </c>
      <c r="O352" s="8"/>
      <c r="P352" s="8">
        <f ca="1">IFERROR(__xludf.DUMMYFUNCTION("""COMPUTED_VALUE"""),104)</f>
        <v>104</v>
      </c>
      <c r="Q352" s="8">
        <f ca="1">IFERROR(__xludf.DUMMYFUNCTION("""COMPUTED_VALUE"""),6)</f>
        <v>6</v>
      </c>
      <c r="R352" s="8">
        <f ca="1">IFERROR(__xludf.DUMMYFUNCTION("""COMPUTED_VALUE"""),624)</f>
        <v>624</v>
      </c>
      <c r="S352" s="8">
        <f ca="1">IFERROR(__xludf.DUMMYFUNCTION("""COMPUTED_VALUE"""),9.6)</f>
        <v>9.6</v>
      </c>
      <c r="T352" s="8">
        <f ca="1">IFERROR(__xludf.DUMMYFUNCTION("""COMPUTED_VALUE"""),633.6)</f>
        <v>633.6</v>
      </c>
      <c r="U352" s="8"/>
      <c r="V352" s="8"/>
      <c r="W352" s="8"/>
      <c r="X352" s="8"/>
      <c r="Y352" s="8"/>
      <c r="Z352" s="37" t="s">
        <v>29</v>
      </c>
      <c r="AA352" s="37" t="str">
        <f ca="1">IFERROR(__xludf.DUMMYFUNCTION("""COMPUTED_VALUE"""),"25/10/2024")</f>
        <v>25/10/2024</v>
      </c>
      <c r="AB352" s="64">
        <v>0.72222222222222221</v>
      </c>
    </row>
    <row r="353" spans="1:28" ht="14.55" customHeight="1" x14ac:dyDescent="0.3">
      <c r="A353" s="8">
        <v>61</v>
      </c>
      <c r="B353" s="8"/>
      <c r="C353" s="8"/>
      <c r="D353" s="8" t="str">
        <f ca="1">IFERROR(__xludf.DUMMYFUNCTION("""COMPUTED_VALUE"""),"15/08/2024")</f>
        <v>15/08/2024</v>
      </c>
      <c r="E353" s="16" t="str">
        <f ca="1">IFERROR(__xludf.DUMMYFUNCTION("""COMPUTED_VALUE"""),"Player")</f>
        <v>Player</v>
      </c>
      <c r="F353" s="8" t="str">
        <f ca="1">IFERROR(__xludf.DUMMYFUNCTION("""COMPUTED_VALUE"""),"Olsen, William Alexander")</f>
        <v>Olsen, William Alexander</v>
      </c>
      <c r="G353" s="16" t="str">
        <f ca="1">IFERROR(__xludf.DUMMYFUNCTION("""COMPUTED_VALUE"""),"NOR")</f>
        <v>NOR</v>
      </c>
      <c r="H353" s="8"/>
      <c r="I353" s="8">
        <f ca="1">IFERROR(__xludf.DUMMYFUNCTION("""COMPUTED_VALUE"""),100)</f>
        <v>100</v>
      </c>
      <c r="J353" s="8"/>
      <c r="K353" s="8"/>
      <c r="L353" s="8" t="str">
        <f ca="1">IFERROR(__xludf.DUMMYFUNCTION("""COMPUTED_VALUE"""),"Bærum Schakselskap")</f>
        <v>Bærum Schakselskap</v>
      </c>
      <c r="M353" s="16" t="str">
        <f ca="1">IFERROR(__xludf.DUMMYFUNCTION("""COMPUTED_VALUE"""),"NOR")</f>
        <v>NOR</v>
      </c>
      <c r="N353" s="16" t="str">
        <f ca="1">IFERROR(__xludf.DUMMYFUNCTION("""COMPUTED_VALUE"""),"Tonanti")</f>
        <v>Tonanti</v>
      </c>
      <c r="O353" s="8" t="str">
        <f ca="1">IFERROR(__xludf.DUMMYFUNCTION("""COMPUTED_VALUE"""),"Evenshaug")</f>
        <v>Evenshaug</v>
      </c>
      <c r="P353" s="8">
        <f ca="1">IFERROR(__xludf.DUMMYFUNCTION("""COMPUTED_VALUE"""),85)</f>
        <v>85</v>
      </c>
      <c r="Q353" s="8">
        <f ca="1">IFERROR(__xludf.DUMMYFUNCTION("""COMPUTED_VALUE"""),8)</f>
        <v>8</v>
      </c>
      <c r="R353" s="8">
        <f ca="1">IFERROR(__xludf.DUMMYFUNCTION("""COMPUTED_VALUE"""),680)</f>
        <v>680</v>
      </c>
      <c r="S353" s="8">
        <f ca="1">IFERROR(__xludf.DUMMYFUNCTION("""COMPUTED_VALUE"""),12.8)</f>
        <v>12.8</v>
      </c>
      <c r="T353" s="8">
        <f ca="1">IFERROR(__xludf.DUMMYFUNCTION("""COMPUTED_VALUE"""),692.8)</f>
        <v>692.8</v>
      </c>
      <c r="U353" s="8"/>
      <c r="V353" s="8"/>
      <c r="W353" s="8"/>
      <c r="X353" s="8"/>
      <c r="Y353" s="8"/>
      <c r="Z353" s="37" t="str">
        <f ca="1">IFERROR(__xludf.DUMMYFUNCTION("""COMPUTED_VALUE"""),"LH1737")</f>
        <v>LH1737</v>
      </c>
      <c r="AA353" s="37" t="str">
        <f ca="1">IFERROR(__xludf.DUMMYFUNCTION("""COMPUTED_VALUE"""),"27/10/2024")</f>
        <v>27/10/2024</v>
      </c>
      <c r="AB353" s="64">
        <f ca="1">IFERROR(__xludf.DUMMYFUNCTION("""COMPUTED_VALUE"""),0.725694444444444)</f>
        <v>0.72569444444444398</v>
      </c>
    </row>
    <row r="354" spans="1:28" ht="14.55" customHeight="1" x14ac:dyDescent="0.3">
      <c r="A354" s="8">
        <v>62</v>
      </c>
      <c r="B354" s="8"/>
      <c r="C354" s="8"/>
      <c r="D354" s="8" t="str">
        <f ca="1">IFERROR(__xludf.DUMMYFUNCTION("""COMPUTED_VALUE"""),"15/08/2024")</f>
        <v>15/08/2024</v>
      </c>
      <c r="E354" s="16" t="str">
        <f ca="1">IFERROR(__xludf.DUMMYFUNCTION("""COMPUTED_VALUE"""),"Player")</f>
        <v>Player</v>
      </c>
      <c r="F354" s="8" t="str">
        <f ca="1">IFERROR(__xludf.DUMMYFUNCTION("""COMPUTED_VALUE"""),"Evenshaug, Amadeus Hestvik")</f>
        <v>Evenshaug, Amadeus Hestvik</v>
      </c>
      <c r="G354" s="16" t="str">
        <f ca="1">IFERROR(__xludf.DUMMYFUNCTION("""COMPUTED_VALUE"""),"NOR")</f>
        <v>NOR</v>
      </c>
      <c r="H354" s="8"/>
      <c r="I354" s="8">
        <f ca="1">IFERROR(__xludf.DUMMYFUNCTION("""COMPUTED_VALUE"""),100)</f>
        <v>100</v>
      </c>
      <c r="J354" s="8"/>
      <c r="K354" s="8"/>
      <c r="L354" s="8" t="str">
        <f ca="1">IFERROR(__xludf.DUMMYFUNCTION("""COMPUTED_VALUE"""),"Bærum Schakselskap")</f>
        <v>Bærum Schakselskap</v>
      </c>
      <c r="M354" s="16" t="str">
        <f ca="1">IFERROR(__xludf.DUMMYFUNCTION("""COMPUTED_VALUE"""),"NOR")</f>
        <v>NOR</v>
      </c>
      <c r="N354" s="16" t="str">
        <f ca="1">IFERROR(__xludf.DUMMYFUNCTION("""COMPUTED_VALUE"""),"Tonanti")</f>
        <v>Tonanti</v>
      </c>
      <c r="O354" s="8" t="str">
        <f ca="1">IFERROR(__xludf.DUMMYFUNCTION("""COMPUTED_VALUE"""),"Olsen")</f>
        <v>Olsen</v>
      </c>
      <c r="P354" s="8">
        <f ca="1">IFERROR(__xludf.DUMMYFUNCTION("""COMPUTED_VALUE"""),85)</f>
        <v>85</v>
      </c>
      <c r="Q354" s="8">
        <f ca="1">IFERROR(__xludf.DUMMYFUNCTION("""COMPUTED_VALUE"""),8)</f>
        <v>8</v>
      </c>
      <c r="R354" s="8">
        <f ca="1">IFERROR(__xludf.DUMMYFUNCTION("""COMPUTED_VALUE"""),680)</f>
        <v>680</v>
      </c>
      <c r="S354" s="8">
        <f ca="1">IFERROR(__xludf.DUMMYFUNCTION("""COMPUTED_VALUE"""),12.8)</f>
        <v>12.8</v>
      </c>
      <c r="T354" s="8">
        <f ca="1">IFERROR(__xludf.DUMMYFUNCTION("""COMPUTED_VALUE"""),692.8)</f>
        <v>692.8</v>
      </c>
      <c r="U354" s="8"/>
      <c r="V354" s="8"/>
      <c r="W354" s="8"/>
      <c r="X354" s="8"/>
      <c r="Y354" s="8"/>
      <c r="Z354" s="37" t="str">
        <f ca="1">IFERROR(__xludf.DUMMYFUNCTION("""COMPUTED_VALUE"""),"LH1737")</f>
        <v>LH1737</v>
      </c>
      <c r="AA354" s="37" t="str">
        <f ca="1">IFERROR(__xludf.DUMMYFUNCTION("""COMPUTED_VALUE"""),"27/10/2024")</f>
        <v>27/10/2024</v>
      </c>
      <c r="AB354" s="64">
        <f ca="1">IFERROR(__xludf.DUMMYFUNCTION("""COMPUTED_VALUE"""),0.725694444444444)</f>
        <v>0.72569444444444398</v>
      </c>
    </row>
    <row r="355" spans="1:28" ht="14.55" customHeight="1" x14ac:dyDescent="0.3">
      <c r="A355" s="8">
        <v>63</v>
      </c>
      <c r="B355" s="8"/>
      <c r="C355" s="8"/>
      <c r="D355" s="8" t="str">
        <f ca="1">IFERROR(__xludf.DUMMYFUNCTION("""COMPUTED_VALUE"""),"15/08/2024")</f>
        <v>15/08/2024</v>
      </c>
      <c r="E355" s="16" t="str">
        <f ca="1">IFERROR(__xludf.DUMMYFUNCTION("""COMPUTED_VALUE"""),"Player")</f>
        <v>Player</v>
      </c>
      <c r="F355" s="8" t="str">
        <f ca="1">IFERROR(__xludf.DUMMYFUNCTION("""COMPUTED_VALUE"""),"Walgren, William Arntzen")</f>
        <v>Walgren, William Arntzen</v>
      </c>
      <c r="G355" s="16" t="str">
        <f ca="1">IFERROR(__xludf.DUMMYFUNCTION("""COMPUTED_VALUE"""),"NOR")</f>
        <v>NOR</v>
      </c>
      <c r="H355" s="8"/>
      <c r="I355" s="8">
        <f ca="1">IFERROR(__xludf.DUMMYFUNCTION("""COMPUTED_VALUE"""),100)</f>
        <v>100</v>
      </c>
      <c r="J355" s="8"/>
      <c r="K355" s="8"/>
      <c r="L355" s="8" t="str">
        <f ca="1">IFERROR(__xludf.DUMMYFUNCTION("""COMPUTED_VALUE"""),"Bærum Schakselskap")</f>
        <v>Bærum Schakselskap</v>
      </c>
      <c r="M355" s="16" t="str">
        <f ca="1">IFERROR(__xludf.DUMMYFUNCTION("""COMPUTED_VALUE"""),"NOR")</f>
        <v>NOR</v>
      </c>
      <c r="N355" s="16" t="str">
        <f ca="1">IFERROR(__xludf.DUMMYFUNCTION("""COMPUTED_VALUE"""),"Tonanti")</f>
        <v>Tonanti</v>
      </c>
      <c r="O355" s="8" t="str">
        <f ca="1">IFERROR(__xludf.DUMMYFUNCTION("""COMPUTED_VALUE"""),"Walgren")</f>
        <v>Walgren</v>
      </c>
      <c r="P355" s="8">
        <f ca="1">IFERROR(__xludf.DUMMYFUNCTION("""COMPUTED_VALUE"""),85)</f>
        <v>85</v>
      </c>
      <c r="Q355" s="8">
        <f ca="1">IFERROR(__xludf.DUMMYFUNCTION("""COMPUTED_VALUE"""),8)</f>
        <v>8</v>
      </c>
      <c r="R355" s="8">
        <f ca="1">IFERROR(__xludf.DUMMYFUNCTION("""COMPUTED_VALUE"""),680)</f>
        <v>680</v>
      </c>
      <c r="S355" s="8">
        <f ca="1">IFERROR(__xludf.DUMMYFUNCTION("""COMPUTED_VALUE"""),12.8)</f>
        <v>12.8</v>
      </c>
      <c r="T355" s="8">
        <f ca="1">IFERROR(__xludf.DUMMYFUNCTION("""COMPUTED_VALUE"""),692.8)</f>
        <v>692.8</v>
      </c>
      <c r="U355" s="8"/>
      <c r="V355" s="8"/>
      <c r="W355" s="8"/>
      <c r="X355" s="8"/>
      <c r="Y355" s="8"/>
      <c r="Z355" s="37" t="str">
        <f ca="1">IFERROR(__xludf.DUMMYFUNCTION("""COMPUTED_VALUE"""),"LH1737")</f>
        <v>LH1737</v>
      </c>
      <c r="AA355" s="37" t="str">
        <f ca="1">IFERROR(__xludf.DUMMYFUNCTION("""COMPUTED_VALUE"""),"27/10/2024")</f>
        <v>27/10/2024</v>
      </c>
      <c r="AB355" s="64">
        <f ca="1">IFERROR(__xludf.DUMMYFUNCTION("""COMPUTED_VALUE"""),0.725694444444444)</f>
        <v>0.72569444444444398</v>
      </c>
    </row>
    <row r="356" spans="1:28" ht="14.55" customHeight="1" x14ac:dyDescent="0.3">
      <c r="A356" s="8">
        <v>64</v>
      </c>
      <c r="B356" s="8"/>
      <c r="C356" s="8"/>
      <c r="D356" s="8" t="str">
        <f ca="1">IFERROR(__xludf.DUMMYFUNCTION("""COMPUTED_VALUE"""),"15/08/2024")</f>
        <v>15/08/2024</v>
      </c>
      <c r="E356" s="16" t="str">
        <f ca="1">IFERROR(__xludf.DUMMYFUNCTION("""COMPUTED_VALUE"""),"Player")</f>
        <v>Player</v>
      </c>
      <c r="F356" s="8" t="str">
        <f ca="1">IFERROR(__xludf.DUMMYFUNCTION("""COMPUTED_VALUE"""),"Carlin, Tormod")</f>
        <v>Carlin, Tormod</v>
      </c>
      <c r="G356" s="16" t="str">
        <f ca="1">IFERROR(__xludf.DUMMYFUNCTION("""COMPUTED_VALUE"""),"NOR")</f>
        <v>NOR</v>
      </c>
      <c r="H356" s="8"/>
      <c r="I356" s="8">
        <f ca="1">IFERROR(__xludf.DUMMYFUNCTION("""COMPUTED_VALUE"""),100)</f>
        <v>100</v>
      </c>
      <c r="J356" s="8"/>
      <c r="K356" s="8"/>
      <c r="L356" s="8" t="str">
        <f ca="1">IFERROR(__xludf.DUMMYFUNCTION("""COMPUTED_VALUE"""),"Bærum Schakselskap")</f>
        <v>Bærum Schakselskap</v>
      </c>
      <c r="M356" s="16" t="str">
        <f ca="1">IFERROR(__xludf.DUMMYFUNCTION("""COMPUTED_VALUE"""),"NOR")</f>
        <v>NOR</v>
      </c>
      <c r="N356" s="16" t="str">
        <f ca="1">IFERROR(__xludf.DUMMYFUNCTION("""COMPUTED_VALUE"""),"Tonanti")</f>
        <v>Tonanti</v>
      </c>
      <c r="O356" s="8" t="str">
        <f ca="1">IFERROR(__xludf.DUMMYFUNCTION("""COMPUTED_VALUE"""),"Carlin Bjørn Gunnar")</f>
        <v>Carlin Bjørn Gunnar</v>
      </c>
      <c r="P356" s="8">
        <f ca="1">IFERROR(__xludf.DUMMYFUNCTION("""COMPUTED_VALUE"""),85)</f>
        <v>85</v>
      </c>
      <c r="Q356" s="8">
        <f ca="1">IFERROR(__xludf.DUMMYFUNCTION("""COMPUTED_VALUE"""),8)</f>
        <v>8</v>
      </c>
      <c r="R356" s="8">
        <f ca="1">IFERROR(__xludf.DUMMYFUNCTION("""COMPUTED_VALUE"""),680)</f>
        <v>680</v>
      </c>
      <c r="S356" s="8">
        <f ca="1">IFERROR(__xludf.DUMMYFUNCTION("""COMPUTED_VALUE"""),12.8)</f>
        <v>12.8</v>
      </c>
      <c r="T356" s="8">
        <f ca="1">IFERROR(__xludf.DUMMYFUNCTION("""COMPUTED_VALUE"""),692.8)</f>
        <v>692.8</v>
      </c>
      <c r="U356" s="8"/>
      <c r="V356" s="8"/>
      <c r="W356" s="8"/>
      <c r="X356" s="8"/>
      <c r="Y356" s="8"/>
      <c r="Z356" s="37" t="str">
        <f ca="1">IFERROR(__xludf.DUMMYFUNCTION("""COMPUTED_VALUE"""),"LH1737")</f>
        <v>LH1737</v>
      </c>
      <c r="AA356" s="37" t="str">
        <f ca="1">IFERROR(__xludf.DUMMYFUNCTION("""COMPUTED_VALUE"""),"27/10/2024")</f>
        <v>27/10/2024</v>
      </c>
      <c r="AB356" s="64">
        <f ca="1">IFERROR(__xludf.DUMMYFUNCTION("""COMPUTED_VALUE"""),0.725694444444444)</f>
        <v>0.72569444444444398</v>
      </c>
    </row>
    <row r="357" spans="1:28" ht="14.55" customHeight="1" x14ac:dyDescent="0.3">
      <c r="A357" s="8">
        <v>65</v>
      </c>
      <c r="B357" s="8"/>
      <c r="C357" s="8"/>
      <c r="D357" s="8" t="str">
        <f ca="1">IFERROR(__xludf.DUMMYFUNCTION("""COMPUTED_VALUE"""),"15/08/2024")</f>
        <v>15/08/2024</v>
      </c>
      <c r="E357" s="16" t="s">
        <v>0</v>
      </c>
      <c r="F357" s="8" t="str">
        <f ca="1">IFERROR(__xludf.DUMMYFUNCTION("""COMPUTED_VALUE"""),"Walgren, Atle")</f>
        <v>Walgren, Atle</v>
      </c>
      <c r="G357" s="16" t="str">
        <f ca="1">IFERROR(__xludf.DUMMYFUNCTION("""COMPUTED_VALUE"""),"NOR")</f>
        <v>NOR</v>
      </c>
      <c r="H357" s="8"/>
      <c r="I357" s="8">
        <f ca="1">IFERROR(__xludf.DUMMYFUNCTION("""COMPUTED_VALUE"""),100)</f>
        <v>100</v>
      </c>
      <c r="J357" s="8"/>
      <c r="K357" s="8"/>
      <c r="L357" s="8" t="str">
        <f ca="1">IFERROR(__xludf.DUMMYFUNCTION("""COMPUTED_VALUE"""),"Bærum Schakselskap")</f>
        <v>Bærum Schakselskap</v>
      </c>
      <c r="M357" s="16" t="str">
        <f ca="1">IFERROR(__xludf.DUMMYFUNCTION("""COMPUTED_VALUE"""),"NOR")</f>
        <v>NOR</v>
      </c>
      <c r="N357" s="16" t="str">
        <f ca="1">IFERROR(__xludf.DUMMYFUNCTION("""COMPUTED_VALUE"""),"Tonanti")</f>
        <v>Tonanti</v>
      </c>
      <c r="O357" s="8" t="str">
        <f ca="1">IFERROR(__xludf.DUMMYFUNCTION("""COMPUTED_VALUE"""),"Walgren")</f>
        <v>Walgren</v>
      </c>
      <c r="P357" s="8">
        <f ca="1">IFERROR(__xludf.DUMMYFUNCTION("""COMPUTED_VALUE"""),85)</f>
        <v>85</v>
      </c>
      <c r="Q357" s="8">
        <f ca="1">IFERROR(__xludf.DUMMYFUNCTION("""COMPUTED_VALUE"""),8)</f>
        <v>8</v>
      </c>
      <c r="R357" s="8">
        <f ca="1">IFERROR(__xludf.DUMMYFUNCTION("""COMPUTED_VALUE"""),680)</f>
        <v>680</v>
      </c>
      <c r="S357" s="8">
        <f ca="1">IFERROR(__xludf.DUMMYFUNCTION("""COMPUTED_VALUE"""),12.8)</f>
        <v>12.8</v>
      </c>
      <c r="T357" s="8">
        <f ca="1">IFERROR(__xludf.DUMMYFUNCTION("""COMPUTED_VALUE"""),692.8)</f>
        <v>692.8</v>
      </c>
      <c r="U357" s="8"/>
      <c r="V357" s="8"/>
      <c r="W357" s="8"/>
      <c r="X357" s="8" t="str">
        <f ca="1">IFERROR(__xludf.DUMMYFUNCTION("""COMPUTED_VALUE"""),"SUPER LUX ROOM; pogledaj mejl")</f>
        <v>SUPER LUX ROOM; pogledaj mejl</v>
      </c>
      <c r="Y357" s="8"/>
      <c r="Z357" s="37" t="str">
        <f ca="1">IFERROR(__xludf.DUMMYFUNCTION("""COMPUTED_VALUE"""),"LH1737")</f>
        <v>LH1737</v>
      </c>
      <c r="AA357" s="37" t="str">
        <f ca="1">IFERROR(__xludf.DUMMYFUNCTION("""COMPUTED_VALUE"""),"27/10/2024")</f>
        <v>27/10/2024</v>
      </c>
      <c r="AB357" s="64">
        <f ca="1">IFERROR(__xludf.DUMMYFUNCTION("""COMPUTED_VALUE"""),0.725694444444444)</f>
        <v>0.72569444444444398</v>
      </c>
    </row>
    <row r="358" spans="1:28" ht="14.55" customHeight="1" x14ac:dyDescent="0.3">
      <c r="A358" s="8">
        <v>66</v>
      </c>
      <c r="B358" s="8"/>
      <c r="C358" s="8"/>
      <c r="D358" s="8" t="str">
        <f ca="1">IFERROR(__xludf.DUMMYFUNCTION("""COMPUTED_VALUE"""),"15/08/2024")</f>
        <v>15/08/2024</v>
      </c>
      <c r="E358" s="16" t="s">
        <v>0</v>
      </c>
      <c r="F358" s="8" t="str">
        <f ca="1">IFERROR(__xludf.DUMMYFUNCTION("""COMPUTED_VALUE"""),"Carlin, Bjørn Gunnar")</f>
        <v>Carlin, Bjørn Gunnar</v>
      </c>
      <c r="G358" s="16" t="str">
        <f ca="1">IFERROR(__xludf.DUMMYFUNCTION("""COMPUTED_VALUE"""),"NOR")</f>
        <v>NOR</v>
      </c>
      <c r="H358" s="8"/>
      <c r="I358" s="8"/>
      <c r="J358" s="8"/>
      <c r="K358" s="8"/>
      <c r="L358" s="8" t="str">
        <f ca="1">IFERROR(__xludf.DUMMYFUNCTION("""COMPUTED_VALUE"""),"Bærum Schakselskap")</f>
        <v>Bærum Schakselskap</v>
      </c>
      <c r="M358" s="16" t="str">
        <f ca="1">IFERROR(__xludf.DUMMYFUNCTION("""COMPUTED_VALUE"""),"NOR")</f>
        <v>NOR</v>
      </c>
      <c r="N358" s="16" t="str">
        <f ca="1">IFERROR(__xludf.DUMMYFUNCTION("""COMPUTED_VALUE"""),"Tonanti")</f>
        <v>Tonanti</v>
      </c>
      <c r="O358" s="8" t="str">
        <f ca="1">IFERROR(__xludf.DUMMYFUNCTION("""COMPUTED_VALUE"""),"Carlin, Tormod")</f>
        <v>Carlin, Tormod</v>
      </c>
      <c r="P358" s="8">
        <f ca="1">IFERROR(__xludf.DUMMYFUNCTION("""COMPUTED_VALUE"""),85)</f>
        <v>85</v>
      </c>
      <c r="Q358" s="8">
        <f ca="1">IFERROR(__xludf.DUMMYFUNCTION("""COMPUTED_VALUE"""),8)</f>
        <v>8</v>
      </c>
      <c r="R358" s="8">
        <f ca="1">IFERROR(__xludf.DUMMYFUNCTION("""COMPUTED_VALUE"""),680)</f>
        <v>680</v>
      </c>
      <c r="S358" s="8">
        <f ca="1">IFERROR(__xludf.DUMMYFUNCTION("""COMPUTED_VALUE"""),12.8)</f>
        <v>12.8</v>
      </c>
      <c r="T358" s="8">
        <f ca="1">IFERROR(__xludf.DUMMYFUNCTION("""COMPUTED_VALUE"""),692.8)</f>
        <v>692.8</v>
      </c>
      <c r="U358" s="8"/>
      <c r="V358" s="8"/>
      <c r="W358" s="8"/>
      <c r="X358" s="8"/>
      <c r="Y358" s="8"/>
      <c r="Z358" s="37" t="str">
        <f ca="1">IFERROR(__xludf.DUMMYFUNCTION("""COMPUTED_VALUE"""),"LH1737")</f>
        <v>LH1737</v>
      </c>
      <c r="AA358" s="37" t="str">
        <f ca="1">IFERROR(__xludf.DUMMYFUNCTION("""COMPUTED_VALUE"""),"27/10/2024")</f>
        <v>27/10/2024</v>
      </c>
      <c r="AB358" s="64">
        <f ca="1">IFERROR(__xludf.DUMMYFUNCTION("""COMPUTED_VALUE"""),0.725694444444444)</f>
        <v>0.72569444444444398</v>
      </c>
    </row>
    <row r="359" spans="1:28" ht="14.55" customHeight="1" x14ac:dyDescent="0.3">
      <c r="A359" s="8">
        <v>67</v>
      </c>
      <c r="B359" s="8"/>
      <c r="C359" s="8"/>
      <c r="D359" s="13">
        <f ca="1">IFERROR(__xludf.DUMMYFUNCTION("""COMPUTED_VALUE"""),45420)</f>
        <v>45420</v>
      </c>
      <c r="E359" s="16" t="str">
        <f ca="1">IFERROR(__xludf.DUMMYFUNCTION("""COMPUTED_VALUE"""),"Player")</f>
        <v>Player</v>
      </c>
      <c r="F359" s="8" t="str">
        <f ca="1">IFERROR(__xludf.DUMMYFUNCTION("""COMPUTED_VALUE"""),"Sparwel, Oliver")</f>
        <v>Sparwel, Oliver</v>
      </c>
      <c r="G359" s="16" t="str">
        <f ca="1">IFERROR(__xludf.DUMMYFUNCTION("""COMPUTED_VALUE"""),"LUX")</f>
        <v>LUX</v>
      </c>
      <c r="H359" s="8"/>
      <c r="I359" s="8">
        <f ca="1">IFERROR(__xludf.DUMMYFUNCTION("""COMPUTED_VALUE"""),100)</f>
        <v>100</v>
      </c>
      <c r="J359" s="8"/>
      <c r="K359" s="8"/>
      <c r="L359" s="8" t="str">
        <f ca="1">IFERROR(__xludf.DUMMYFUNCTION("""COMPUTED_VALUE"""),"De Sprenger Echternach")</f>
        <v>De Sprenger Echternach</v>
      </c>
      <c r="M359" s="16" t="str">
        <f ca="1">IFERROR(__xludf.DUMMYFUNCTION("""COMPUTED_VALUE"""),"LUX")</f>
        <v>LUX</v>
      </c>
      <c r="N359" s="16" t="str">
        <f ca="1">IFERROR(__xludf.DUMMYFUNCTION("""COMPUTED_VALUE"""),"Fontana")</f>
        <v>Fontana</v>
      </c>
      <c r="O359" s="8"/>
      <c r="P359" s="8">
        <f ca="1">IFERROR(__xludf.DUMMYFUNCTION("""COMPUTED_VALUE"""),104)</f>
        <v>104</v>
      </c>
      <c r="Q359" s="8">
        <f ca="1">IFERROR(__xludf.DUMMYFUNCTION("""COMPUTED_VALUE"""),9)</f>
        <v>9</v>
      </c>
      <c r="R359" s="8">
        <f ca="1">IFERROR(__xludf.DUMMYFUNCTION("""COMPUTED_VALUE"""),936)</f>
        <v>936</v>
      </c>
      <c r="S359" s="8">
        <f ca="1">IFERROR(__xludf.DUMMYFUNCTION("""COMPUTED_VALUE"""),14.4)</f>
        <v>14.4</v>
      </c>
      <c r="T359" s="8">
        <f ca="1">IFERROR(__xludf.DUMMYFUNCTION("""COMPUTED_VALUE"""),950.4)</f>
        <v>950.4</v>
      </c>
      <c r="U359" s="8"/>
      <c r="V359" s="8"/>
      <c r="W359" s="8"/>
      <c r="X359" s="8"/>
      <c r="Y359" s="8"/>
      <c r="Z359" s="37" t="str">
        <f ca="1">IFERROR(__xludf.DUMMYFUNCTION("""COMPUTED_VALUE"""),"JU361")</f>
        <v>JU361</v>
      </c>
      <c r="AA359" s="37" t="str">
        <f ca="1">IFERROR(__xludf.DUMMYFUNCTION("""COMPUTED_VALUE"""),"28/10/2024")</f>
        <v>28/10/2024</v>
      </c>
      <c r="AB359" s="64">
        <f ca="1">IFERROR(__xludf.DUMMYFUNCTION("""COMPUTED_VALUE"""),0.725694444444444)</f>
        <v>0.72569444444444398</v>
      </c>
    </row>
    <row r="360" spans="1:28" ht="14.55" customHeight="1" x14ac:dyDescent="0.3">
      <c r="A360" s="8">
        <v>68</v>
      </c>
      <c r="B360" s="8"/>
      <c r="C360" s="8"/>
      <c r="D360" s="8" t="str">
        <f ca="1">IFERROR(__xludf.DUMMYFUNCTION("""COMPUTED_VALUE"""),"15/08/2024")</f>
        <v>15/08/2024</v>
      </c>
      <c r="E360" s="16" t="str">
        <f ca="1">IFERROR(__xludf.DUMMYFUNCTION("""COMPUTED_VALUE"""),"Player")</f>
        <v>Player</v>
      </c>
      <c r="F360" s="8" t="str">
        <f ca="1">IFERROR(__xludf.DUMMYFUNCTION("""COMPUTED_VALUE"""),"Kokkila, Tero")</f>
        <v>Kokkila, Tero</v>
      </c>
      <c r="G360" s="16" t="str">
        <f ca="1">IFERROR(__xludf.DUMMYFUNCTION("""COMPUTED_VALUE"""),"FIN")</f>
        <v>FIN</v>
      </c>
      <c r="H360" s="8"/>
      <c r="I360" s="8">
        <f ca="1">IFERROR(__xludf.DUMMYFUNCTION("""COMPUTED_VALUE"""),100)</f>
        <v>100</v>
      </c>
      <c r="J360" s="8"/>
      <c r="K360" s="8"/>
      <c r="L360" s="8" t="str">
        <f ca="1">IFERROR(__xludf.DUMMYFUNCTION("""COMPUTED_VALUE"""),"EtVaS")</f>
        <v>EtVaS</v>
      </c>
      <c r="M360" s="16" t="str">
        <f ca="1">IFERROR(__xludf.DUMMYFUNCTION("""COMPUTED_VALUE"""),"FIN")</f>
        <v>FIN</v>
      </c>
      <c r="N360" s="16" t="str">
        <f ca="1">IFERROR(__xludf.DUMMYFUNCTION("""COMPUTED_VALUE"""),"Fontana")</f>
        <v>Fontana</v>
      </c>
      <c r="O360" s="8" t="str">
        <f ca="1">IFERROR(__xludf.DUMMYFUNCTION("""COMPUTED_VALUE"""),"Vihinen Teemu")</f>
        <v>Vihinen Teemu</v>
      </c>
      <c r="P360" s="8">
        <f ca="1">IFERROR(__xludf.DUMMYFUNCTION("""COMPUTED_VALUE"""),84)</f>
        <v>84</v>
      </c>
      <c r="Q360" s="8">
        <f ca="1">IFERROR(__xludf.DUMMYFUNCTION("""COMPUTED_VALUE"""),8)</f>
        <v>8</v>
      </c>
      <c r="R360" s="8">
        <f ca="1">IFERROR(__xludf.DUMMYFUNCTION("""COMPUTED_VALUE"""),672)</f>
        <v>672</v>
      </c>
      <c r="S360" s="8">
        <f ca="1">IFERROR(__xludf.DUMMYFUNCTION("""COMPUTED_VALUE"""),12.8)</f>
        <v>12.8</v>
      </c>
      <c r="T360" s="8">
        <f ca="1">IFERROR(__xludf.DUMMYFUNCTION("""COMPUTED_VALUE"""),684.8)</f>
        <v>684.8</v>
      </c>
      <c r="U360" s="8"/>
      <c r="V360" s="8"/>
      <c r="W360" s="8"/>
      <c r="X360" s="8"/>
      <c r="Y360" s="8"/>
      <c r="Z360" s="37" t="str">
        <f ca="1">IFERROR(__xludf.DUMMYFUNCTION("""COMPUTED_VALUE"""),"LH 1737")</f>
        <v>LH 1737</v>
      </c>
      <c r="AA360" s="37" t="str">
        <f ca="1">IFERROR(__xludf.DUMMYFUNCTION("""COMPUTED_VALUE"""),"27/10/2024")</f>
        <v>27/10/2024</v>
      </c>
      <c r="AB360" s="64">
        <f ca="1">IFERROR(__xludf.DUMMYFUNCTION("""COMPUTED_VALUE"""),0.725694444444444)</f>
        <v>0.72569444444444398</v>
      </c>
    </row>
    <row r="361" spans="1:28" ht="14.55" customHeight="1" x14ac:dyDescent="0.3">
      <c r="A361" s="8">
        <v>69</v>
      </c>
      <c r="B361" s="8"/>
      <c r="C361" s="8"/>
      <c r="D361" s="8" t="str">
        <f ca="1">IFERROR(__xludf.DUMMYFUNCTION("""COMPUTED_VALUE"""),"15/08/2024")</f>
        <v>15/08/2024</v>
      </c>
      <c r="E361" s="16" t="str">
        <f ca="1">IFERROR(__xludf.DUMMYFUNCTION("""COMPUTED_VALUE"""),"Player")</f>
        <v>Player</v>
      </c>
      <c r="F361" s="8" t="str">
        <f ca="1">IFERROR(__xludf.DUMMYFUNCTION("""COMPUTED_VALUE"""),"Paasikangas, Johanna")</f>
        <v>Paasikangas, Johanna</v>
      </c>
      <c r="G361" s="16" t="str">
        <f ca="1">IFERROR(__xludf.DUMMYFUNCTION("""COMPUTED_VALUE"""),"FIN")</f>
        <v>FIN</v>
      </c>
      <c r="H361" s="8"/>
      <c r="I361" s="8">
        <f ca="1">IFERROR(__xludf.DUMMYFUNCTION("""COMPUTED_VALUE"""),100)</f>
        <v>100</v>
      </c>
      <c r="J361" s="8"/>
      <c r="K361" s="8"/>
      <c r="L361" s="8" t="str">
        <f ca="1">IFERROR(__xludf.DUMMYFUNCTION("""COMPUTED_VALUE"""),"EtVaS")</f>
        <v>EtVaS</v>
      </c>
      <c r="M361" s="16" t="str">
        <f ca="1">IFERROR(__xludf.DUMMYFUNCTION("""COMPUTED_VALUE"""),"FIN")</f>
        <v>FIN</v>
      </c>
      <c r="N361" s="16" t="str">
        <f ca="1">IFERROR(__xludf.DUMMYFUNCTION("""COMPUTED_VALUE"""),"Fontana")</f>
        <v>Fontana</v>
      </c>
      <c r="O361" s="8" t="str">
        <f ca="1">IFERROR(__xludf.DUMMYFUNCTION("""COMPUTED_VALUE"""),"Koskinen Henri")</f>
        <v>Koskinen Henri</v>
      </c>
      <c r="P361" s="8">
        <f ca="1">IFERROR(__xludf.DUMMYFUNCTION("""COMPUTED_VALUE"""),84)</f>
        <v>84</v>
      </c>
      <c r="Q361" s="8">
        <f ca="1">IFERROR(__xludf.DUMMYFUNCTION("""COMPUTED_VALUE"""),8)</f>
        <v>8</v>
      </c>
      <c r="R361" s="8">
        <f ca="1">IFERROR(__xludf.DUMMYFUNCTION("""COMPUTED_VALUE"""),672)</f>
        <v>672</v>
      </c>
      <c r="S361" s="8">
        <f ca="1">IFERROR(__xludf.DUMMYFUNCTION("""COMPUTED_VALUE"""),12.8)</f>
        <v>12.8</v>
      </c>
      <c r="T361" s="8">
        <f ca="1">IFERROR(__xludf.DUMMYFUNCTION("""COMPUTED_VALUE"""),684.8)</f>
        <v>684.8</v>
      </c>
      <c r="U361" s="8"/>
      <c r="V361" s="8"/>
      <c r="W361" s="8"/>
      <c r="X361" s="8"/>
      <c r="Y361" s="8"/>
      <c r="Z361" s="37" t="str">
        <f ca="1">IFERROR(__xludf.DUMMYFUNCTION("""COMPUTED_VALUE"""),"LH 1737")</f>
        <v>LH 1737</v>
      </c>
      <c r="AA361" s="37" t="str">
        <f ca="1">IFERROR(__xludf.DUMMYFUNCTION("""COMPUTED_VALUE"""),"27/10/2024")</f>
        <v>27/10/2024</v>
      </c>
      <c r="AB361" s="64">
        <f ca="1">IFERROR(__xludf.DUMMYFUNCTION("""COMPUTED_VALUE"""),0.725694444444444)</f>
        <v>0.72569444444444398</v>
      </c>
    </row>
    <row r="362" spans="1:28" ht="14.55" customHeight="1" x14ac:dyDescent="0.3">
      <c r="A362" s="8">
        <v>70</v>
      </c>
      <c r="B362" s="8"/>
      <c r="C362" s="8"/>
      <c r="D362" s="8" t="str">
        <f ca="1">IFERROR(__xludf.DUMMYFUNCTION("""COMPUTED_VALUE"""),"15/08/2024")</f>
        <v>15/08/2024</v>
      </c>
      <c r="E362" s="16" t="str">
        <f ca="1">IFERROR(__xludf.DUMMYFUNCTION("""COMPUTED_VALUE"""),"Player")</f>
        <v>Player</v>
      </c>
      <c r="F362" s="8" t="str">
        <f ca="1">IFERROR(__xludf.DUMMYFUNCTION("""COMPUTED_VALUE"""),"Koskinen, Henri")</f>
        <v>Koskinen, Henri</v>
      </c>
      <c r="G362" s="16" t="str">
        <f ca="1">IFERROR(__xludf.DUMMYFUNCTION("""COMPUTED_VALUE"""),"FIN")</f>
        <v>FIN</v>
      </c>
      <c r="H362" s="8"/>
      <c r="I362" s="8">
        <f ca="1">IFERROR(__xludf.DUMMYFUNCTION("""COMPUTED_VALUE"""),100)</f>
        <v>100</v>
      </c>
      <c r="J362" s="8"/>
      <c r="K362" s="8"/>
      <c r="L362" s="8" t="str">
        <f ca="1">IFERROR(__xludf.DUMMYFUNCTION("""COMPUTED_VALUE"""),"EtVaS")</f>
        <v>EtVaS</v>
      </c>
      <c r="M362" s="16" t="str">
        <f ca="1">IFERROR(__xludf.DUMMYFUNCTION("""COMPUTED_VALUE"""),"FIN")</f>
        <v>FIN</v>
      </c>
      <c r="N362" s="16" t="str">
        <f ca="1">IFERROR(__xludf.DUMMYFUNCTION("""COMPUTED_VALUE"""),"Fontana")</f>
        <v>Fontana</v>
      </c>
      <c r="O362" s="8" t="str">
        <f ca="1">IFERROR(__xludf.DUMMYFUNCTION("""COMPUTED_VALUE"""),"Paasikangas Johanna")</f>
        <v>Paasikangas Johanna</v>
      </c>
      <c r="P362" s="8">
        <f ca="1">IFERROR(__xludf.DUMMYFUNCTION("""COMPUTED_VALUE"""),84)</f>
        <v>84</v>
      </c>
      <c r="Q362" s="8">
        <f ca="1">IFERROR(__xludf.DUMMYFUNCTION("""COMPUTED_VALUE"""),8)</f>
        <v>8</v>
      </c>
      <c r="R362" s="8">
        <f ca="1">IFERROR(__xludf.DUMMYFUNCTION("""COMPUTED_VALUE"""),672)</f>
        <v>672</v>
      </c>
      <c r="S362" s="8">
        <f ca="1">IFERROR(__xludf.DUMMYFUNCTION("""COMPUTED_VALUE"""),12.8)</f>
        <v>12.8</v>
      </c>
      <c r="T362" s="8">
        <f ca="1">IFERROR(__xludf.DUMMYFUNCTION("""COMPUTED_VALUE"""),684.8)</f>
        <v>684.8</v>
      </c>
      <c r="U362" s="8"/>
      <c r="V362" s="8"/>
      <c r="W362" s="8"/>
      <c r="X362" s="8"/>
      <c r="Y362" s="8"/>
      <c r="Z362" s="37" t="str">
        <f ca="1">IFERROR(__xludf.DUMMYFUNCTION("""COMPUTED_VALUE"""),"LH 1737")</f>
        <v>LH 1737</v>
      </c>
      <c r="AA362" s="37" t="str">
        <f ca="1">IFERROR(__xludf.DUMMYFUNCTION("""COMPUTED_VALUE"""),"27/10/2024")</f>
        <v>27/10/2024</v>
      </c>
      <c r="AB362" s="64">
        <f ca="1">IFERROR(__xludf.DUMMYFUNCTION("""COMPUTED_VALUE"""),0.725694444444444)</f>
        <v>0.72569444444444398</v>
      </c>
    </row>
    <row r="363" spans="1:28" ht="14.55" customHeight="1" x14ac:dyDescent="0.3">
      <c r="A363" s="8">
        <v>71</v>
      </c>
      <c r="B363" s="8"/>
      <c r="C363" s="8"/>
      <c r="D363" s="8" t="str">
        <f ca="1">IFERROR(__xludf.DUMMYFUNCTION("""COMPUTED_VALUE"""),"15/08/2024")</f>
        <v>15/08/2024</v>
      </c>
      <c r="E363" s="16" t="str">
        <f ca="1">IFERROR(__xludf.DUMMYFUNCTION("""COMPUTED_VALUE"""),"Player")</f>
        <v>Player</v>
      </c>
      <c r="F363" s="8" t="str">
        <f ca="1">IFERROR(__xludf.DUMMYFUNCTION("""COMPUTED_VALUE"""),"Vihinen, Teemu")</f>
        <v>Vihinen, Teemu</v>
      </c>
      <c r="G363" s="16" t="str">
        <f ca="1">IFERROR(__xludf.DUMMYFUNCTION("""COMPUTED_VALUE"""),"FIN")</f>
        <v>FIN</v>
      </c>
      <c r="H363" s="8"/>
      <c r="I363" s="8">
        <f ca="1">IFERROR(__xludf.DUMMYFUNCTION("""COMPUTED_VALUE"""),100)</f>
        <v>100</v>
      </c>
      <c r="J363" s="8"/>
      <c r="K363" s="8"/>
      <c r="L363" s="8" t="str">
        <f ca="1">IFERROR(__xludf.DUMMYFUNCTION("""COMPUTED_VALUE"""),"EtVaS")</f>
        <v>EtVaS</v>
      </c>
      <c r="M363" s="16" t="str">
        <f ca="1">IFERROR(__xludf.DUMMYFUNCTION("""COMPUTED_VALUE"""),"FIN")</f>
        <v>FIN</v>
      </c>
      <c r="N363" s="16" t="str">
        <f ca="1">IFERROR(__xludf.DUMMYFUNCTION("""COMPUTED_VALUE"""),"Fontana")</f>
        <v>Fontana</v>
      </c>
      <c r="O363" s="8" t="str">
        <f ca="1">IFERROR(__xludf.DUMMYFUNCTION("""COMPUTED_VALUE"""),"Kokkila Tero")</f>
        <v>Kokkila Tero</v>
      </c>
      <c r="P363" s="8">
        <f ca="1">IFERROR(__xludf.DUMMYFUNCTION("""COMPUTED_VALUE"""),84)</f>
        <v>84</v>
      </c>
      <c r="Q363" s="8">
        <f ca="1">IFERROR(__xludf.DUMMYFUNCTION("""COMPUTED_VALUE"""),8)</f>
        <v>8</v>
      </c>
      <c r="R363" s="8">
        <f ca="1">IFERROR(__xludf.DUMMYFUNCTION("""COMPUTED_VALUE"""),672)</f>
        <v>672</v>
      </c>
      <c r="S363" s="8">
        <f ca="1">IFERROR(__xludf.DUMMYFUNCTION("""COMPUTED_VALUE"""),12.8)</f>
        <v>12.8</v>
      </c>
      <c r="T363" s="8">
        <f ca="1">IFERROR(__xludf.DUMMYFUNCTION("""COMPUTED_VALUE"""),684.8)</f>
        <v>684.8</v>
      </c>
      <c r="U363" s="8"/>
      <c r="V363" s="8"/>
      <c r="W363" s="8"/>
      <c r="X363" s="8"/>
      <c r="Y363" s="8"/>
      <c r="Z363" s="37" t="str">
        <f ca="1">IFERROR(__xludf.DUMMYFUNCTION("""COMPUTED_VALUE"""),"LH 1737")</f>
        <v>LH 1737</v>
      </c>
      <c r="AA363" s="37" t="str">
        <f ca="1">IFERROR(__xludf.DUMMYFUNCTION("""COMPUTED_VALUE"""),"27/10/2024")</f>
        <v>27/10/2024</v>
      </c>
      <c r="AB363" s="64">
        <f ca="1">IFERROR(__xludf.DUMMYFUNCTION("""COMPUTED_VALUE"""),0.725694444444444)</f>
        <v>0.72569444444444398</v>
      </c>
    </row>
    <row r="364" spans="1:28" ht="14.55" customHeight="1" x14ac:dyDescent="0.3">
      <c r="A364" s="8">
        <v>72</v>
      </c>
      <c r="B364" s="8"/>
      <c r="C364" s="8"/>
      <c r="D364" s="8" t="str">
        <f ca="1">IFERROR(__xludf.DUMMYFUNCTION("""COMPUTED_VALUE"""),"15/08/2024")</f>
        <v>15/08/2024</v>
      </c>
      <c r="E364" s="16" t="str">
        <f ca="1">IFERROR(__xludf.DUMMYFUNCTION("""COMPUTED_VALUE"""),"Player")</f>
        <v>Player</v>
      </c>
      <c r="F364" s="8" t="str">
        <f ca="1">IFERROR(__xludf.DUMMYFUNCTION("""COMPUTED_VALUE"""),"Laakso, Harri")</f>
        <v>Laakso, Harri</v>
      </c>
      <c r="G364" s="16" t="str">
        <f ca="1">IFERROR(__xludf.DUMMYFUNCTION("""COMPUTED_VALUE"""),"FIN")</f>
        <v>FIN</v>
      </c>
      <c r="H364" s="8"/>
      <c r="I364" s="8">
        <f ca="1">IFERROR(__xludf.DUMMYFUNCTION("""COMPUTED_VALUE"""),100)</f>
        <v>100</v>
      </c>
      <c r="J364" s="8"/>
      <c r="K364" s="8"/>
      <c r="L364" s="8" t="str">
        <f ca="1">IFERROR(__xludf.DUMMYFUNCTION("""COMPUTED_VALUE"""),"EtVaS")</f>
        <v>EtVaS</v>
      </c>
      <c r="M364" s="16" t="str">
        <f ca="1">IFERROR(__xludf.DUMMYFUNCTION("""COMPUTED_VALUE"""),"FIN")</f>
        <v>FIN</v>
      </c>
      <c r="N364" s="16" t="str">
        <f ca="1">IFERROR(__xludf.DUMMYFUNCTION("""COMPUTED_VALUE"""),"Fontana")</f>
        <v>Fontana</v>
      </c>
      <c r="O364" s="8"/>
      <c r="P364" s="8">
        <f ca="1">IFERROR(__xludf.DUMMYFUNCTION("""COMPUTED_VALUE"""),104)</f>
        <v>104</v>
      </c>
      <c r="Q364" s="8">
        <f ca="1">IFERROR(__xludf.DUMMYFUNCTION("""COMPUTED_VALUE"""),8)</f>
        <v>8</v>
      </c>
      <c r="R364" s="8">
        <f ca="1">IFERROR(__xludf.DUMMYFUNCTION("""COMPUTED_VALUE"""),832)</f>
        <v>832</v>
      </c>
      <c r="S364" s="8">
        <f ca="1">IFERROR(__xludf.DUMMYFUNCTION("""COMPUTED_VALUE"""),12.8)</f>
        <v>12.8</v>
      </c>
      <c r="T364" s="8">
        <f ca="1">IFERROR(__xludf.DUMMYFUNCTION("""COMPUTED_VALUE"""),844.8)</f>
        <v>844.8</v>
      </c>
      <c r="U364" s="8"/>
      <c r="V364" s="8"/>
      <c r="W364" s="8"/>
      <c r="X364" s="8"/>
      <c r="Y364" s="8"/>
      <c r="Z364" s="37" t="str">
        <f ca="1">IFERROR(__xludf.DUMMYFUNCTION("""COMPUTED_VALUE"""),"LH 1737")</f>
        <v>LH 1737</v>
      </c>
      <c r="AA364" s="37" t="str">
        <f ca="1">IFERROR(__xludf.DUMMYFUNCTION("""COMPUTED_VALUE"""),"27/10/2024")</f>
        <v>27/10/2024</v>
      </c>
      <c r="AB364" s="64">
        <f ca="1">IFERROR(__xludf.DUMMYFUNCTION("""COMPUTED_VALUE"""),0.725694444444444)</f>
        <v>0.72569444444444398</v>
      </c>
    </row>
    <row r="365" spans="1:28" ht="14.55" customHeight="1" x14ac:dyDescent="0.3">
      <c r="A365" s="8">
        <v>73</v>
      </c>
      <c r="B365" s="8"/>
      <c r="C365" s="8"/>
      <c r="D365" s="8" t="str">
        <f ca="1">IFERROR(__xludf.DUMMYFUNCTION("""COMPUTED_VALUE"""),"15/08/2024")</f>
        <v>15/08/2024</v>
      </c>
      <c r="E365" s="16" t="str">
        <f ca="1">IFERROR(__xludf.DUMMYFUNCTION("""COMPUTED_VALUE"""),"Player")</f>
        <v>Player</v>
      </c>
      <c r="F365" s="8" t="str">
        <f ca="1">IFERROR(__xludf.DUMMYFUNCTION("""COMPUTED_VALUE"""),"Tahkavuori, Tapani")</f>
        <v>Tahkavuori, Tapani</v>
      </c>
      <c r="G365" s="16" t="str">
        <f ca="1">IFERROR(__xludf.DUMMYFUNCTION("""COMPUTED_VALUE"""),"FIN")</f>
        <v>FIN</v>
      </c>
      <c r="H365" s="8"/>
      <c r="I365" s="8">
        <f ca="1">IFERROR(__xludf.DUMMYFUNCTION("""COMPUTED_VALUE"""),100)</f>
        <v>100</v>
      </c>
      <c r="J365" s="8"/>
      <c r="K365" s="8"/>
      <c r="L365" s="8" t="str">
        <f ca="1">IFERROR(__xludf.DUMMYFUNCTION("""COMPUTED_VALUE"""),"EtVaS")</f>
        <v>EtVaS</v>
      </c>
      <c r="M365" s="16" t="str">
        <f ca="1">IFERROR(__xludf.DUMMYFUNCTION("""COMPUTED_VALUE"""),"FIN")</f>
        <v>FIN</v>
      </c>
      <c r="N365" s="16" t="str">
        <f ca="1">IFERROR(__xludf.DUMMYFUNCTION("""COMPUTED_VALUE"""),"Fontana")</f>
        <v>Fontana</v>
      </c>
      <c r="O365" s="8"/>
      <c r="P365" s="8">
        <f ca="1">IFERROR(__xludf.DUMMYFUNCTION("""COMPUTED_VALUE"""),104)</f>
        <v>104</v>
      </c>
      <c r="Q365" s="8">
        <f ca="1">IFERROR(__xludf.DUMMYFUNCTION("""COMPUTED_VALUE"""),8)</f>
        <v>8</v>
      </c>
      <c r="R365" s="8">
        <f ca="1">IFERROR(__xludf.DUMMYFUNCTION("""COMPUTED_VALUE"""),832)</f>
        <v>832</v>
      </c>
      <c r="S365" s="8">
        <f ca="1">IFERROR(__xludf.DUMMYFUNCTION("""COMPUTED_VALUE"""),12.8)</f>
        <v>12.8</v>
      </c>
      <c r="T365" s="8">
        <f ca="1">IFERROR(__xludf.DUMMYFUNCTION("""COMPUTED_VALUE"""),844.8)</f>
        <v>844.8</v>
      </c>
      <c r="U365" s="8"/>
      <c r="V365" s="8"/>
      <c r="W365" s="8"/>
      <c r="X365" s="8"/>
      <c r="Y365" s="8"/>
      <c r="Z365" s="37" t="str">
        <f ca="1">IFERROR(__xludf.DUMMYFUNCTION("""COMPUTED_VALUE"""),"LH 1737")</f>
        <v>LH 1737</v>
      </c>
      <c r="AA365" s="37" t="str">
        <f ca="1">IFERROR(__xludf.DUMMYFUNCTION("""COMPUTED_VALUE"""),"27/10/2024")</f>
        <v>27/10/2024</v>
      </c>
      <c r="AB365" s="64">
        <f ca="1">IFERROR(__xludf.DUMMYFUNCTION("""COMPUTED_VALUE"""),0.725694444444444)</f>
        <v>0.72569444444444398</v>
      </c>
    </row>
    <row r="366" spans="1:28" ht="14.55" customHeight="1" x14ac:dyDescent="0.3">
      <c r="A366" s="8">
        <v>74</v>
      </c>
      <c r="B366" s="8"/>
      <c r="C366" s="8"/>
      <c r="D366" s="8" t="str">
        <f ca="1">IFERROR(__xludf.DUMMYFUNCTION("""COMPUTED_VALUE"""),"15/08/2024")</f>
        <v>15/08/2024</v>
      </c>
      <c r="E366" s="16" t="str">
        <f ca="1">IFERROR(__xludf.DUMMYFUNCTION("""COMPUTED_VALUE"""),"Player")</f>
        <v>Player</v>
      </c>
      <c r="F366" s="8" t="str">
        <f ca="1">IFERROR(__xludf.DUMMYFUNCTION("""COMPUTED_VALUE"""),"Tella, Vilho")</f>
        <v>Tella, Vilho</v>
      </c>
      <c r="G366" s="16" t="str">
        <f ca="1">IFERROR(__xludf.DUMMYFUNCTION("""COMPUTED_VALUE"""),"FIN")</f>
        <v>FIN</v>
      </c>
      <c r="H366" s="8"/>
      <c r="I366" s="8">
        <f ca="1">IFERROR(__xludf.DUMMYFUNCTION("""COMPUTED_VALUE"""),100)</f>
        <v>100</v>
      </c>
      <c r="J366" s="8"/>
      <c r="K366" s="8"/>
      <c r="L366" s="8" t="str">
        <f ca="1">IFERROR(__xludf.DUMMYFUNCTION("""COMPUTED_VALUE"""),"EtVaS")</f>
        <v>EtVaS</v>
      </c>
      <c r="M366" s="16" t="str">
        <f ca="1">IFERROR(__xludf.DUMMYFUNCTION("""COMPUTED_VALUE"""),"FIN")</f>
        <v>FIN</v>
      </c>
      <c r="N366" s="16" t="str">
        <f ca="1">IFERROR(__xludf.DUMMYFUNCTION("""COMPUTED_VALUE"""),"Fontana")</f>
        <v>Fontana</v>
      </c>
      <c r="O366" s="8"/>
      <c r="P366" s="8">
        <f ca="1">IFERROR(__xludf.DUMMYFUNCTION("""COMPUTED_VALUE"""),104)</f>
        <v>104</v>
      </c>
      <c r="Q366" s="8">
        <f ca="1">IFERROR(__xludf.DUMMYFUNCTION("""COMPUTED_VALUE"""),8)</f>
        <v>8</v>
      </c>
      <c r="R366" s="8">
        <f ca="1">IFERROR(__xludf.DUMMYFUNCTION("""COMPUTED_VALUE"""),832)</f>
        <v>832</v>
      </c>
      <c r="S366" s="8">
        <f ca="1">IFERROR(__xludf.DUMMYFUNCTION("""COMPUTED_VALUE"""),12.8)</f>
        <v>12.8</v>
      </c>
      <c r="T366" s="8">
        <f ca="1">IFERROR(__xludf.DUMMYFUNCTION("""COMPUTED_VALUE"""),844.8)</f>
        <v>844.8</v>
      </c>
      <c r="U366" s="8"/>
      <c r="V366" s="8"/>
      <c r="W366" s="8"/>
      <c r="X366" s="8"/>
      <c r="Y366" s="8"/>
      <c r="Z366" s="37" t="str">
        <f ca="1">IFERROR(__xludf.DUMMYFUNCTION("""COMPUTED_VALUE"""),"LH 1737")</f>
        <v>LH 1737</v>
      </c>
      <c r="AA366" s="37" t="str">
        <f ca="1">IFERROR(__xludf.DUMMYFUNCTION("""COMPUTED_VALUE"""),"27/10/2024")</f>
        <v>27/10/2024</v>
      </c>
      <c r="AB366" s="64">
        <f ca="1">IFERROR(__xludf.DUMMYFUNCTION("""COMPUTED_VALUE"""),0.725694444444444)</f>
        <v>0.72569444444444398</v>
      </c>
    </row>
    <row r="367" spans="1:28" ht="14.55" customHeight="1" x14ac:dyDescent="0.3">
      <c r="A367" s="8">
        <v>75</v>
      </c>
      <c r="B367" s="8"/>
      <c r="C367" s="8"/>
      <c r="D367" s="8" t="str">
        <f ca="1">IFERROR(__xludf.DUMMYFUNCTION("""COMPUTED_VALUE"""),"15/08/2024")</f>
        <v>15/08/2024</v>
      </c>
      <c r="E367" s="16" t="str">
        <f ca="1">IFERROR(__xludf.DUMMYFUNCTION("""COMPUTED_VALUE"""),"Player")</f>
        <v>Player</v>
      </c>
      <c r="F367" s="8" t="str">
        <f ca="1">IFERROR(__xludf.DUMMYFUNCTION("""COMPUTED_VALUE"""),"Turunen, Tiina")</f>
        <v>Turunen, Tiina</v>
      </c>
      <c r="G367" s="16" t="str">
        <f ca="1">IFERROR(__xludf.DUMMYFUNCTION("""COMPUTED_VALUE"""),"FIN")</f>
        <v>FIN</v>
      </c>
      <c r="H367" s="8"/>
      <c r="I367" s="8">
        <f ca="1">IFERROR(__xludf.DUMMYFUNCTION("""COMPUTED_VALUE"""),100)</f>
        <v>100</v>
      </c>
      <c r="J367" s="8"/>
      <c r="K367" s="8"/>
      <c r="L367" s="8" t="str">
        <f ca="1">IFERROR(__xludf.DUMMYFUNCTION("""COMPUTED_VALUE"""),"EtVaS")</f>
        <v>EtVaS</v>
      </c>
      <c r="M367" s="16" t="str">
        <f ca="1">IFERROR(__xludf.DUMMYFUNCTION("""COMPUTED_VALUE"""),"FIN")</f>
        <v>FIN</v>
      </c>
      <c r="N367" s="16" t="str">
        <f ca="1">IFERROR(__xludf.DUMMYFUNCTION("""COMPUTED_VALUE"""),"Fontana")</f>
        <v>Fontana</v>
      </c>
      <c r="O367" s="8"/>
      <c r="P367" s="8">
        <f ca="1">IFERROR(__xludf.DUMMYFUNCTION("""COMPUTED_VALUE"""),104)</f>
        <v>104</v>
      </c>
      <c r="Q367" s="8">
        <f ca="1">IFERROR(__xludf.DUMMYFUNCTION("""COMPUTED_VALUE"""),8)</f>
        <v>8</v>
      </c>
      <c r="R367" s="8">
        <f ca="1">IFERROR(__xludf.DUMMYFUNCTION("""COMPUTED_VALUE"""),832)</f>
        <v>832</v>
      </c>
      <c r="S367" s="8">
        <f ca="1">IFERROR(__xludf.DUMMYFUNCTION("""COMPUTED_VALUE"""),12.8)</f>
        <v>12.8</v>
      </c>
      <c r="T367" s="8">
        <f ca="1">IFERROR(__xludf.DUMMYFUNCTION("""COMPUTED_VALUE"""),844.8)</f>
        <v>844.8</v>
      </c>
      <c r="U367" s="8"/>
      <c r="V367" s="8"/>
      <c r="W367" s="8"/>
      <c r="X367" s="8"/>
      <c r="Y367" s="8"/>
      <c r="Z367" s="37" t="str">
        <f ca="1">IFERROR(__xludf.DUMMYFUNCTION("""COMPUTED_VALUE"""),"LH 1737")</f>
        <v>LH 1737</v>
      </c>
      <c r="AA367" s="37" t="str">
        <f ca="1">IFERROR(__xludf.DUMMYFUNCTION("""COMPUTED_VALUE"""),"27/10/2024")</f>
        <v>27/10/2024</v>
      </c>
      <c r="AB367" s="64">
        <f ca="1">IFERROR(__xludf.DUMMYFUNCTION("""COMPUTED_VALUE"""),0.725694444444444)</f>
        <v>0.72569444444444398</v>
      </c>
    </row>
    <row r="368" spans="1:28" ht="14.55" customHeight="1" x14ac:dyDescent="0.3">
      <c r="A368" s="8">
        <v>76</v>
      </c>
      <c r="B368" s="8"/>
      <c r="C368" s="8"/>
      <c r="D368" s="8" t="str">
        <f ca="1">IFERROR(__xludf.DUMMYFUNCTION("""COMPUTED_VALUE"""),"15/08/2024")</f>
        <v>15/08/2024</v>
      </c>
      <c r="E368" s="16" t="str">
        <f ca="1">IFERROR(__xludf.DUMMYFUNCTION("""COMPUTED_VALUE"""),"Player")</f>
        <v>Player</v>
      </c>
      <c r="F368" s="8" t="str">
        <f ca="1">IFERROR(__xludf.DUMMYFUNCTION("""COMPUTED_VALUE"""),"Abel, Dennes")</f>
        <v>Abel, Dennes</v>
      </c>
      <c r="G368" s="16" t="str">
        <f ca="1">IFERROR(__xludf.DUMMYFUNCTION("""COMPUTED_VALUE"""),"GER")</f>
        <v>GER</v>
      </c>
      <c r="H368" s="8"/>
      <c r="I368" s="8">
        <f ca="1">IFERROR(__xludf.DUMMYFUNCTION("""COMPUTED_VALUE"""),100)</f>
        <v>100</v>
      </c>
      <c r="J368" s="8"/>
      <c r="K368" s="8"/>
      <c r="L368" s="8" t="str">
        <f ca="1">IFERROR(__xludf.DUMMYFUNCTION("""COMPUTED_VALUE"""),"HSK Lister Turm")</f>
        <v>HSK Lister Turm</v>
      </c>
      <c r="M368" s="16" t="str">
        <f ca="1">IFERROR(__xludf.DUMMYFUNCTION("""COMPUTED_VALUE"""),"GER")</f>
        <v>GER</v>
      </c>
      <c r="N368" s="16" t="str">
        <f ca="1">IFERROR(__xludf.DUMMYFUNCTION("""COMPUTED_VALUE"""),"Tonanti")</f>
        <v>Tonanti</v>
      </c>
      <c r="O368" s="8"/>
      <c r="P368" s="8">
        <f ca="1">IFERROR(__xludf.DUMMYFUNCTION("""COMPUTED_VALUE"""),108)</f>
        <v>108</v>
      </c>
      <c r="Q368" s="8">
        <f ca="1">IFERROR(__xludf.DUMMYFUNCTION("""COMPUTED_VALUE"""),8)</f>
        <v>8</v>
      </c>
      <c r="R368" s="8">
        <f ca="1">IFERROR(__xludf.DUMMYFUNCTION("""COMPUTED_VALUE"""),864)</f>
        <v>864</v>
      </c>
      <c r="S368" s="8">
        <f ca="1">IFERROR(__xludf.DUMMYFUNCTION("""COMPUTED_VALUE"""),12.8)</f>
        <v>12.8</v>
      </c>
      <c r="T368" s="8">
        <f ca="1">IFERROR(__xludf.DUMMYFUNCTION("""COMPUTED_VALUE"""),876.8)</f>
        <v>876.8</v>
      </c>
      <c r="U368" s="8"/>
      <c r="V368" s="8"/>
      <c r="W368" s="8"/>
      <c r="X368" s="8"/>
      <c r="Y368" s="8"/>
      <c r="Z368" s="37" t="str">
        <f ca="1">IFERROR(__xludf.DUMMYFUNCTION("""COMPUTED_VALUE"""),"LH1737")</f>
        <v>LH1737</v>
      </c>
      <c r="AA368" s="37" t="str">
        <f ca="1">IFERROR(__xludf.DUMMYFUNCTION("""COMPUTED_VALUE"""),"27/10/2024")</f>
        <v>27/10/2024</v>
      </c>
      <c r="AB368" s="64">
        <f ca="1">IFERROR(__xludf.DUMMYFUNCTION("""COMPUTED_VALUE"""),0.725694444444444)</f>
        <v>0.72569444444444398</v>
      </c>
    </row>
    <row r="369" spans="1:28" ht="14.55" customHeight="1" x14ac:dyDescent="0.3">
      <c r="A369" s="8">
        <v>77</v>
      </c>
      <c r="B369" s="8"/>
      <c r="C369" s="8"/>
      <c r="D369" s="8" t="str">
        <f ca="1">IFERROR(__xludf.DUMMYFUNCTION("""COMPUTED_VALUE"""),"15/08/2024")</f>
        <v>15/08/2024</v>
      </c>
      <c r="E369" s="16" t="str">
        <f ca="1">IFERROR(__xludf.DUMMYFUNCTION("""COMPUTED_VALUE"""),"Player")</f>
        <v>Player</v>
      </c>
      <c r="F369" s="8" t="str">
        <f ca="1">IFERROR(__xludf.DUMMYFUNCTION("""COMPUTED_VALUE"""),"Lammers, Markus")</f>
        <v>Lammers, Markus</v>
      </c>
      <c r="G369" s="16" t="str">
        <f ca="1">IFERROR(__xludf.DUMMYFUNCTION("""COMPUTED_VALUE"""),"GER")</f>
        <v>GER</v>
      </c>
      <c r="H369" s="8"/>
      <c r="I369" s="8">
        <f ca="1">IFERROR(__xludf.DUMMYFUNCTION("""COMPUTED_VALUE"""),100)</f>
        <v>100</v>
      </c>
      <c r="J369" s="8"/>
      <c r="K369" s="8"/>
      <c r="L369" s="8" t="str">
        <f ca="1">IFERROR(__xludf.DUMMYFUNCTION("""COMPUTED_VALUE"""),"HSK Lister Turm")</f>
        <v>HSK Lister Turm</v>
      </c>
      <c r="M369" s="16" t="str">
        <f ca="1">IFERROR(__xludf.DUMMYFUNCTION("""COMPUTED_VALUE"""),"GER")</f>
        <v>GER</v>
      </c>
      <c r="N369" s="16" t="str">
        <f ca="1">IFERROR(__xludf.DUMMYFUNCTION("""COMPUTED_VALUE"""),"Tonanti")</f>
        <v>Tonanti</v>
      </c>
      <c r="O369" s="8" t="str">
        <f ca="1">IFERROR(__xludf.DUMMYFUNCTION("""COMPUTED_VALUE"""),"Tobias Vöge")</f>
        <v>Tobias Vöge</v>
      </c>
      <c r="P369" s="8">
        <f ca="1">IFERROR(__xludf.DUMMYFUNCTION("""COMPUTED_VALUE"""),85)</f>
        <v>85</v>
      </c>
      <c r="Q369" s="8">
        <f ca="1">IFERROR(__xludf.DUMMYFUNCTION("""COMPUTED_VALUE"""),8)</f>
        <v>8</v>
      </c>
      <c r="R369" s="8">
        <f ca="1">IFERROR(__xludf.DUMMYFUNCTION("""COMPUTED_VALUE"""),680)</f>
        <v>680</v>
      </c>
      <c r="S369" s="8">
        <f ca="1">IFERROR(__xludf.DUMMYFUNCTION("""COMPUTED_VALUE"""),12.8)</f>
        <v>12.8</v>
      </c>
      <c r="T369" s="8">
        <f ca="1">IFERROR(__xludf.DUMMYFUNCTION("""COMPUTED_VALUE"""),692.8)</f>
        <v>692.8</v>
      </c>
      <c r="U369" s="8"/>
      <c r="V369" s="8"/>
      <c r="W369" s="8"/>
      <c r="X369" s="8"/>
      <c r="Y369" s="8"/>
      <c r="Z369" s="37" t="str">
        <f ca="1">IFERROR(__xludf.DUMMYFUNCTION("""COMPUTED_VALUE"""),"LH1737")</f>
        <v>LH1737</v>
      </c>
      <c r="AA369" s="37" t="str">
        <f ca="1">IFERROR(__xludf.DUMMYFUNCTION("""COMPUTED_VALUE"""),"27/10/2024")</f>
        <v>27/10/2024</v>
      </c>
      <c r="AB369" s="64">
        <f ca="1">IFERROR(__xludf.DUMMYFUNCTION("""COMPUTED_VALUE"""),0.725694444444444)</f>
        <v>0.72569444444444398</v>
      </c>
    </row>
    <row r="370" spans="1:28" ht="14.55" customHeight="1" x14ac:dyDescent="0.3">
      <c r="A370" s="8">
        <v>78</v>
      </c>
      <c r="B370" s="8"/>
      <c r="C370" s="8"/>
      <c r="D370" s="8" t="str">
        <f ca="1">IFERROR(__xludf.DUMMYFUNCTION("""COMPUTED_VALUE"""),"15/08/2024")</f>
        <v>15/08/2024</v>
      </c>
      <c r="E370" s="16" t="str">
        <f ca="1">IFERROR(__xludf.DUMMYFUNCTION("""COMPUTED_VALUE"""),"Player")</f>
        <v>Player</v>
      </c>
      <c r="F370" s="8" t="str">
        <f ca="1">IFERROR(__xludf.DUMMYFUNCTION("""COMPUTED_VALUE"""),"Schulze, Torben, Dr.")</f>
        <v>Schulze, Torben, Dr.</v>
      </c>
      <c r="G370" s="16" t="str">
        <f ca="1">IFERROR(__xludf.DUMMYFUNCTION("""COMPUTED_VALUE"""),"GER")</f>
        <v>GER</v>
      </c>
      <c r="H370" s="8"/>
      <c r="I370" s="8">
        <f ca="1">IFERROR(__xludf.DUMMYFUNCTION("""COMPUTED_VALUE"""),100)</f>
        <v>100</v>
      </c>
      <c r="J370" s="8"/>
      <c r="K370" s="8"/>
      <c r="L370" s="8" t="str">
        <f ca="1">IFERROR(__xludf.DUMMYFUNCTION("""COMPUTED_VALUE"""),"HSK Lister Turm")</f>
        <v>HSK Lister Turm</v>
      </c>
      <c r="M370" s="16" t="str">
        <f ca="1">IFERROR(__xludf.DUMMYFUNCTION("""COMPUTED_VALUE"""),"GER")</f>
        <v>GER</v>
      </c>
      <c r="N370" s="16" t="str">
        <f ca="1">IFERROR(__xludf.DUMMYFUNCTION("""COMPUTED_VALUE"""),"Tonanti")</f>
        <v>Tonanti</v>
      </c>
      <c r="O370" s="8"/>
      <c r="P370" s="8">
        <f ca="1">IFERROR(__xludf.DUMMYFUNCTION("""COMPUTED_VALUE"""),108)</f>
        <v>108</v>
      </c>
      <c r="Q370" s="8">
        <f ca="1">IFERROR(__xludf.DUMMYFUNCTION("""COMPUTED_VALUE"""),9)</f>
        <v>9</v>
      </c>
      <c r="R370" s="8">
        <f ca="1">IFERROR(__xludf.DUMMYFUNCTION("""COMPUTED_VALUE"""),972)</f>
        <v>972</v>
      </c>
      <c r="S370" s="8">
        <f ca="1">IFERROR(__xludf.DUMMYFUNCTION("""COMPUTED_VALUE"""),14.4)</f>
        <v>14.4</v>
      </c>
      <c r="T370" s="8">
        <f ca="1">IFERROR(__xludf.DUMMYFUNCTION("""COMPUTED_VALUE"""),986.4)</f>
        <v>986.4</v>
      </c>
      <c r="U370" s="8"/>
      <c r="V370" s="8"/>
      <c r="W370" s="8"/>
      <c r="X370" s="8"/>
      <c r="Y370" s="8"/>
      <c r="Z370" s="37" t="str">
        <f ca="1">IFERROR(__xludf.DUMMYFUNCTION("""COMPUTED_VALUE"""),"LH1737")</f>
        <v>LH1737</v>
      </c>
      <c r="AA370" s="37" t="str">
        <f ca="1">IFERROR(__xludf.DUMMYFUNCTION("""COMPUTED_VALUE"""),"27/10/2024")</f>
        <v>27/10/2024</v>
      </c>
      <c r="AB370" s="64">
        <f ca="1">IFERROR(__xludf.DUMMYFUNCTION("""COMPUTED_VALUE"""),0.725694444444444)</f>
        <v>0.72569444444444398</v>
      </c>
    </row>
    <row r="371" spans="1:28" ht="14.55" customHeight="1" x14ac:dyDescent="0.3">
      <c r="A371" s="8">
        <v>79</v>
      </c>
      <c r="B371" s="8"/>
      <c r="C371" s="8"/>
      <c r="D371" s="8" t="str">
        <f ca="1">IFERROR(__xludf.DUMMYFUNCTION("""COMPUTED_VALUE"""),"15/08/2024")</f>
        <v>15/08/2024</v>
      </c>
      <c r="E371" s="16" t="str">
        <f ca="1">IFERROR(__xludf.DUMMYFUNCTION("""COMPUTED_VALUE"""),"Player")</f>
        <v>Player</v>
      </c>
      <c r="F371" s="8" t="str">
        <f ca="1">IFERROR(__xludf.DUMMYFUNCTION("""COMPUTED_VALUE"""),"Hampel, Felix")</f>
        <v>Hampel, Felix</v>
      </c>
      <c r="G371" s="16" t="str">
        <f ca="1">IFERROR(__xludf.DUMMYFUNCTION("""COMPUTED_VALUE"""),"GER")</f>
        <v>GER</v>
      </c>
      <c r="H371" s="8"/>
      <c r="I371" s="8">
        <f ca="1">IFERROR(__xludf.DUMMYFUNCTION("""COMPUTED_VALUE"""),100)</f>
        <v>100</v>
      </c>
      <c r="J371" s="8"/>
      <c r="K371" s="8"/>
      <c r="L371" s="8" t="str">
        <f ca="1">IFERROR(__xludf.DUMMYFUNCTION("""COMPUTED_VALUE"""),"HSK Lister Turm")</f>
        <v>HSK Lister Turm</v>
      </c>
      <c r="M371" s="16" t="str">
        <f ca="1">IFERROR(__xludf.DUMMYFUNCTION("""COMPUTED_VALUE"""),"GER")</f>
        <v>GER</v>
      </c>
      <c r="N371" s="16" t="str">
        <f ca="1">IFERROR(__xludf.DUMMYFUNCTION("""COMPUTED_VALUE"""),"Tonanti")</f>
        <v>Tonanti</v>
      </c>
      <c r="O371" s="8"/>
      <c r="P371" s="8">
        <f ca="1">IFERROR(__xludf.DUMMYFUNCTION("""COMPUTED_VALUE"""),108)</f>
        <v>108</v>
      </c>
      <c r="Q371" s="8">
        <f ca="1">IFERROR(__xludf.DUMMYFUNCTION("""COMPUTED_VALUE"""),8)</f>
        <v>8</v>
      </c>
      <c r="R371" s="8">
        <f ca="1">IFERROR(__xludf.DUMMYFUNCTION("""COMPUTED_VALUE"""),864)</f>
        <v>864</v>
      </c>
      <c r="S371" s="8">
        <f ca="1">IFERROR(__xludf.DUMMYFUNCTION("""COMPUTED_VALUE"""),12.8)</f>
        <v>12.8</v>
      </c>
      <c r="T371" s="8">
        <f ca="1">IFERROR(__xludf.DUMMYFUNCTION("""COMPUTED_VALUE"""),876.8)</f>
        <v>876.8</v>
      </c>
      <c r="U371" s="8"/>
      <c r="V371" s="8"/>
      <c r="W371" s="8"/>
      <c r="X371" s="8"/>
      <c r="Y371" s="8"/>
      <c r="Z371" s="37" t="str">
        <f ca="1">IFERROR(__xludf.DUMMYFUNCTION("""COMPUTED_VALUE"""),"LH1737")</f>
        <v>LH1737</v>
      </c>
      <c r="AA371" s="37" t="str">
        <f ca="1">IFERROR(__xludf.DUMMYFUNCTION("""COMPUTED_VALUE"""),"27/10/2024")</f>
        <v>27/10/2024</v>
      </c>
      <c r="AB371" s="64">
        <f ca="1">IFERROR(__xludf.DUMMYFUNCTION("""COMPUTED_VALUE"""),0.725694444444444)</f>
        <v>0.72569444444444398</v>
      </c>
    </row>
    <row r="372" spans="1:28" ht="14.55" customHeight="1" x14ac:dyDescent="0.3">
      <c r="A372" s="8">
        <v>80</v>
      </c>
      <c r="B372" s="8"/>
      <c r="C372" s="8"/>
      <c r="D372" s="8" t="str">
        <f ca="1">IFERROR(__xludf.DUMMYFUNCTION("""COMPUTED_VALUE"""),"15/08/2024")</f>
        <v>15/08/2024</v>
      </c>
      <c r="E372" s="16" t="str">
        <f ca="1">IFERROR(__xludf.DUMMYFUNCTION("""COMPUTED_VALUE"""),"Player")</f>
        <v>Player</v>
      </c>
      <c r="F372" s="8" t="str">
        <f ca="1">IFERROR(__xludf.DUMMYFUNCTION("""COMPUTED_VALUE"""),"Voege, Tobias")</f>
        <v>Voege, Tobias</v>
      </c>
      <c r="G372" s="16" t="str">
        <f ca="1">IFERROR(__xludf.DUMMYFUNCTION("""COMPUTED_VALUE"""),"GER")</f>
        <v>GER</v>
      </c>
      <c r="H372" s="8"/>
      <c r="I372" s="8">
        <f ca="1">IFERROR(__xludf.DUMMYFUNCTION("""COMPUTED_VALUE"""),100)</f>
        <v>100</v>
      </c>
      <c r="J372" s="8"/>
      <c r="K372" s="8"/>
      <c r="L372" s="8" t="str">
        <f ca="1">IFERROR(__xludf.DUMMYFUNCTION("""COMPUTED_VALUE"""),"HSK Lister Turm")</f>
        <v>HSK Lister Turm</v>
      </c>
      <c r="M372" s="16" t="str">
        <f ca="1">IFERROR(__xludf.DUMMYFUNCTION("""COMPUTED_VALUE"""),"GER")</f>
        <v>GER</v>
      </c>
      <c r="N372" s="16" t="str">
        <f ca="1">IFERROR(__xludf.DUMMYFUNCTION("""COMPUTED_VALUE"""),"Tonanti")</f>
        <v>Tonanti</v>
      </c>
      <c r="O372" s="8" t="str">
        <f ca="1">IFERROR(__xludf.DUMMYFUNCTION("""COMPUTED_VALUE"""),"Markus Lammers")</f>
        <v>Markus Lammers</v>
      </c>
      <c r="P372" s="8">
        <f ca="1">IFERROR(__xludf.DUMMYFUNCTION("""COMPUTED_VALUE"""),85)</f>
        <v>85</v>
      </c>
      <c r="Q372" s="8">
        <f ca="1">IFERROR(__xludf.DUMMYFUNCTION("""COMPUTED_VALUE"""),8)</f>
        <v>8</v>
      </c>
      <c r="R372" s="8">
        <f ca="1">IFERROR(__xludf.DUMMYFUNCTION("""COMPUTED_VALUE"""),680)</f>
        <v>680</v>
      </c>
      <c r="S372" s="8">
        <f ca="1">IFERROR(__xludf.DUMMYFUNCTION("""COMPUTED_VALUE"""),12.8)</f>
        <v>12.8</v>
      </c>
      <c r="T372" s="8">
        <f ca="1">IFERROR(__xludf.DUMMYFUNCTION("""COMPUTED_VALUE"""),692.8)</f>
        <v>692.8</v>
      </c>
      <c r="U372" s="8"/>
      <c r="V372" s="8"/>
      <c r="W372" s="8"/>
      <c r="X372" s="8"/>
      <c r="Y372" s="8"/>
      <c r="Z372" s="37" t="str">
        <f ca="1">IFERROR(__xludf.DUMMYFUNCTION("""COMPUTED_VALUE"""),"LH1737")</f>
        <v>LH1737</v>
      </c>
      <c r="AA372" s="37" t="str">
        <f ca="1">IFERROR(__xludf.DUMMYFUNCTION("""COMPUTED_VALUE"""),"27/10/2024")</f>
        <v>27/10/2024</v>
      </c>
      <c r="AB372" s="64">
        <f ca="1">IFERROR(__xludf.DUMMYFUNCTION("""COMPUTED_VALUE"""),0.725694444444444)</f>
        <v>0.72569444444444398</v>
      </c>
    </row>
    <row r="373" spans="1:28" ht="14.55" customHeight="1" x14ac:dyDescent="0.3">
      <c r="A373" s="8">
        <v>81</v>
      </c>
      <c r="B373" s="8"/>
      <c r="C373" s="8"/>
      <c r="D373" s="8" t="str">
        <f ca="1">IFERROR(__xludf.DUMMYFUNCTION("""COMPUTED_VALUE"""),"15/08/2024")</f>
        <v>15/08/2024</v>
      </c>
      <c r="E373" s="16" t="str">
        <f ca="1">IFERROR(__xludf.DUMMYFUNCTION("""COMPUTED_VALUE"""),"Player")</f>
        <v>Player</v>
      </c>
      <c r="F373" s="8" t="str">
        <f ca="1">IFERROR(__xludf.DUMMYFUNCTION("""COMPUTED_VALUE"""),"Hoerstmann, Rudi")</f>
        <v>Hoerstmann, Rudi</v>
      </c>
      <c r="G373" s="16" t="str">
        <f ca="1">IFERROR(__xludf.DUMMYFUNCTION("""COMPUTED_VALUE"""),"GER")</f>
        <v>GER</v>
      </c>
      <c r="H373" s="8"/>
      <c r="I373" s="8">
        <f ca="1">IFERROR(__xludf.DUMMYFUNCTION("""COMPUTED_VALUE"""),100)</f>
        <v>100</v>
      </c>
      <c r="J373" s="8"/>
      <c r="K373" s="8"/>
      <c r="L373" s="8" t="str">
        <f ca="1">IFERROR(__xludf.DUMMYFUNCTION("""COMPUTED_VALUE"""),"HSK Lister Turm")</f>
        <v>HSK Lister Turm</v>
      </c>
      <c r="M373" s="16" t="str">
        <f ca="1">IFERROR(__xludf.DUMMYFUNCTION("""COMPUTED_VALUE"""),"GER")</f>
        <v>GER</v>
      </c>
      <c r="N373" s="16" t="str">
        <f ca="1">IFERROR(__xludf.DUMMYFUNCTION("""COMPUTED_VALUE"""),"Tonanti")</f>
        <v>Tonanti</v>
      </c>
      <c r="O373" s="8" t="str">
        <f ca="1">IFERROR(__xludf.DUMMYFUNCTION("""COMPUTED_VALUE"""),"Martin Hörstmann")</f>
        <v>Martin Hörstmann</v>
      </c>
      <c r="P373" s="8">
        <f ca="1">IFERROR(__xludf.DUMMYFUNCTION("""COMPUTED_VALUE"""),85)</f>
        <v>85</v>
      </c>
      <c r="Q373" s="8">
        <f ca="1">IFERROR(__xludf.DUMMYFUNCTION("""COMPUTED_VALUE"""),8)</f>
        <v>8</v>
      </c>
      <c r="R373" s="8">
        <f ca="1">IFERROR(__xludf.DUMMYFUNCTION("""COMPUTED_VALUE"""),680)</f>
        <v>680</v>
      </c>
      <c r="S373" s="8">
        <f ca="1">IFERROR(__xludf.DUMMYFUNCTION("""COMPUTED_VALUE"""),12.8)</f>
        <v>12.8</v>
      </c>
      <c r="T373" s="8">
        <f ca="1">IFERROR(__xludf.DUMMYFUNCTION("""COMPUTED_VALUE"""),692.8)</f>
        <v>692.8</v>
      </c>
      <c r="U373" s="8"/>
      <c r="V373" s="8"/>
      <c r="W373" s="8"/>
      <c r="X373" s="8"/>
      <c r="Y373" s="8"/>
      <c r="Z373" s="37" t="str">
        <f ca="1">IFERROR(__xludf.DUMMYFUNCTION("""COMPUTED_VALUE"""),"LH1737")</f>
        <v>LH1737</v>
      </c>
      <c r="AA373" s="37" t="str">
        <f ca="1">IFERROR(__xludf.DUMMYFUNCTION("""COMPUTED_VALUE"""),"27/10/2024")</f>
        <v>27/10/2024</v>
      </c>
      <c r="AB373" s="64">
        <f ca="1">IFERROR(__xludf.DUMMYFUNCTION("""COMPUTED_VALUE"""),0.725694444444444)</f>
        <v>0.72569444444444398</v>
      </c>
    </row>
    <row r="374" spans="1:28" ht="14.55" customHeight="1" x14ac:dyDescent="0.3">
      <c r="A374" s="8">
        <v>82</v>
      </c>
      <c r="B374" s="8"/>
      <c r="C374" s="8"/>
      <c r="D374" s="8" t="str">
        <f ca="1">IFERROR(__xludf.DUMMYFUNCTION("""COMPUTED_VALUE"""),"15/08/2024")</f>
        <v>15/08/2024</v>
      </c>
      <c r="E374" s="16" t="str">
        <f ca="1">IFERROR(__xludf.DUMMYFUNCTION("""COMPUTED_VALUE"""),"Player")</f>
        <v>Player</v>
      </c>
      <c r="F374" s="8" t="str">
        <f ca="1">IFERROR(__xludf.DUMMYFUNCTION("""COMPUTED_VALUE"""),"Hoerstmann, Martin")</f>
        <v>Hoerstmann, Martin</v>
      </c>
      <c r="G374" s="16" t="str">
        <f ca="1">IFERROR(__xludf.DUMMYFUNCTION("""COMPUTED_VALUE"""),"GER")</f>
        <v>GER</v>
      </c>
      <c r="H374" s="8"/>
      <c r="I374" s="8">
        <f ca="1">IFERROR(__xludf.DUMMYFUNCTION("""COMPUTED_VALUE"""),100)</f>
        <v>100</v>
      </c>
      <c r="J374" s="8"/>
      <c r="K374" s="8"/>
      <c r="L374" s="8" t="str">
        <f ca="1">IFERROR(__xludf.DUMMYFUNCTION("""COMPUTED_VALUE"""),"HSK Lister Turm")</f>
        <v>HSK Lister Turm</v>
      </c>
      <c r="M374" s="16" t="str">
        <f ca="1">IFERROR(__xludf.DUMMYFUNCTION("""COMPUTED_VALUE"""),"GER")</f>
        <v>GER</v>
      </c>
      <c r="N374" s="16" t="str">
        <f ca="1">IFERROR(__xludf.DUMMYFUNCTION("""COMPUTED_VALUE"""),"Tonanti")</f>
        <v>Tonanti</v>
      </c>
      <c r="O374" s="8" t="str">
        <f ca="1">IFERROR(__xludf.DUMMYFUNCTION("""COMPUTED_VALUE"""),"Rudi Hörstmann")</f>
        <v>Rudi Hörstmann</v>
      </c>
      <c r="P374" s="8">
        <f ca="1">IFERROR(__xludf.DUMMYFUNCTION("""COMPUTED_VALUE"""),85)</f>
        <v>85</v>
      </c>
      <c r="Q374" s="8">
        <f ca="1">IFERROR(__xludf.DUMMYFUNCTION("""COMPUTED_VALUE"""),8)</f>
        <v>8</v>
      </c>
      <c r="R374" s="8">
        <f ca="1">IFERROR(__xludf.DUMMYFUNCTION("""COMPUTED_VALUE"""),680)</f>
        <v>680</v>
      </c>
      <c r="S374" s="8">
        <f ca="1">IFERROR(__xludf.DUMMYFUNCTION("""COMPUTED_VALUE"""),12.8)</f>
        <v>12.8</v>
      </c>
      <c r="T374" s="8">
        <f ca="1">IFERROR(__xludf.DUMMYFUNCTION("""COMPUTED_VALUE"""),692.8)</f>
        <v>692.8</v>
      </c>
      <c r="U374" s="8"/>
      <c r="V374" s="8"/>
      <c r="W374" s="8"/>
      <c r="X374" s="8"/>
      <c r="Y374" s="8"/>
      <c r="Z374" s="37" t="str">
        <f ca="1">IFERROR(__xludf.DUMMYFUNCTION("""COMPUTED_VALUE"""),"LH1737")</f>
        <v>LH1737</v>
      </c>
      <c r="AA374" s="37" t="str">
        <f ca="1">IFERROR(__xludf.DUMMYFUNCTION("""COMPUTED_VALUE"""),"27/10/2024")</f>
        <v>27/10/2024</v>
      </c>
      <c r="AB374" s="64">
        <f ca="1">IFERROR(__xludf.DUMMYFUNCTION("""COMPUTED_VALUE"""),0.725694444444444)</f>
        <v>0.72569444444444398</v>
      </c>
    </row>
    <row r="375" spans="1:28" ht="14.55" customHeight="1" x14ac:dyDescent="0.3">
      <c r="A375" s="8">
        <v>83</v>
      </c>
      <c r="B375" s="8"/>
      <c r="C375" s="8"/>
      <c r="D375" s="8" t="str">
        <f ca="1">IFERROR(__xludf.DUMMYFUNCTION("""COMPUTED_VALUE"""),"13/08/2024")</f>
        <v>13/08/2024</v>
      </c>
      <c r="E375" s="16" t="str">
        <f ca="1">IFERROR(__xludf.DUMMYFUNCTION("""COMPUTED_VALUE"""),"Player")</f>
        <v>Player</v>
      </c>
      <c r="F375" s="8" t="str">
        <f ca="1">IFERROR(__xludf.DUMMYFUNCTION("""COMPUTED_VALUE"""),"Mastrovasilis, Dimitrios")</f>
        <v>Mastrovasilis, Dimitrios</v>
      </c>
      <c r="G375" s="16" t="str">
        <f ca="1">IFERROR(__xludf.DUMMYFUNCTION("""COMPUTED_VALUE"""),"GRE")</f>
        <v>GRE</v>
      </c>
      <c r="H375" s="8"/>
      <c r="I375" s="8">
        <f ca="1">IFERROR(__xludf.DUMMYFUNCTION("""COMPUTED_VALUE"""),100)</f>
        <v>100</v>
      </c>
      <c r="J375" s="8"/>
      <c r="K375" s="8"/>
      <c r="L375" s="8" t="str">
        <f ca="1">IFERROR(__xludf.DUMMYFUNCTION("""COMPUTED_VALUE"""),"Kavala Chess Club")</f>
        <v>Kavala Chess Club</v>
      </c>
      <c r="M375" s="16" t="str">
        <f ca="1">IFERROR(__xludf.DUMMYFUNCTION("""COMPUTED_VALUE"""),"GRE")</f>
        <v>GRE</v>
      </c>
      <c r="N375" s="16" t="str">
        <f ca="1">IFERROR(__xludf.DUMMYFUNCTION("""COMPUTED_VALUE"""),"Zepter")</f>
        <v>Zepter</v>
      </c>
      <c r="O375" s="8" t="str">
        <f ca="1">IFERROR(__xludf.DUMMYFUNCTION("""COMPUTED_VALUE"""),"ZAWADZKA J.")</f>
        <v>ZAWADZKA J.</v>
      </c>
      <c r="P375" s="8">
        <f ca="1">IFERROR(__xludf.DUMMYFUNCTION("""COMPUTED_VALUE"""),82)</f>
        <v>82</v>
      </c>
      <c r="Q375" s="8">
        <f ca="1">IFERROR(__xludf.DUMMYFUNCTION("""COMPUTED_VALUE"""),8)</f>
        <v>8</v>
      </c>
      <c r="R375" s="8">
        <f ca="1">IFERROR(__xludf.DUMMYFUNCTION("""COMPUTED_VALUE"""),656)</f>
        <v>656</v>
      </c>
      <c r="S375" s="8">
        <f ca="1">IFERROR(__xludf.DUMMYFUNCTION("""COMPUTED_VALUE"""),12.8)</f>
        <v>12.8</v>
      </c>
      <c r="T375" s="8">
        <f ca="1">IFERROR(__xludf.DUMMYFUNCTION("""COMPUTED_VALUE"""),668.8)</f>
        <v>668.8</v>
      </c>
      <c r="U375" s="8"/>
      <c r="V375" s="8"/>
      <c r="W375" s="8"/>
      <c r="X375" s="8"/>
      <c r="Y375" s="8"/>
      <c r="Z375" s="37" t="str">
        <f ca="1">IFERROR(__xludf.DUMMYFUNCTION("""COMPUTED_VALUE"""),"LH1737")</f>
        <v>LH1737</v>
      </c>
      <c r="AA375" s="37" t="str">
        <f ca="1">IFERROR(__xludf.DUMMYFUNCTION("""COMPUTED_VALUE"""),"27/10/2024")</f>
        <v>27/10/2024</v>
      </c>
      <c r="AB375" s="64">
        <f ca="1">IFERROR(__xludf.DUMMYFUNCTION("""COMPUTED_VALUE"""),0.725694444444444)</f>
        <v>0.72569444444444398</v>
      </c>
    </row>
    <row r="376" spans="1:28" ht="14.55" customHeight="1" x14ac:dyDescent="0.3">
      <c r="A376" s="8">
        <v>84</v>
      </c>
      <c r="B376" s="8"/>
      <c r="C376" s="8"/>
      <c r="D376" s="8" t="str">
        <f ca="1">IFERROR(__xludf.DUMMYFUNCTION("""COMPUTED_VALUE"""),"13/08/2024")</f>
        <v>13/08/2024</v>
      </c>
      <c r="E376" s="16" t="s">
        <v>0</v>
      </c>
      <c r="F376" s="8" t="str">
        <f ca="1">IFERROR(__xludf.DUMMYFUNCTION("""COMPUTED_VALUE"""),"Zawadzka, Jolanta")</f>
        <v>Zawadzka, Jolanta</v>
      </c>
      <c r="G376" s="16" t="str">
        <f ca="1">IFERROR(__xludf.DUMMYFUNCTION("""COMPUTED_VALUE"""),"POL")</f>
        <v>POL</v>
      </c>
      <c r="H376" s="8"/>
      <c r="I376" s="8">
        <f ca="1">IFERROR(__xludf.DUMMYFUNCTION("""COMPUTED_VALUE"""),100)</f>
        <v>100</v>
      </c>
      <c r="J376" s="8"/>
      <c r="K376" s="8"/>
      <c r="L376" s="8" t="str">
        <f ca="1">IFERROR(__xludf.DUMMYFUNCTION("""COMPUTED_VALUE"""),"Kavala Chess Club")</f>
        <v>Kavala Chess Club</v>
      </c>
      <c r="M376" s="16" t="str">
        <f ca="1">IFERROR(__xludf.DUMMYFUNCTION("""COMPUTED_VALUE"""),"GRE")</f>
        <v>GRE</v>
      </c>
      <c r="N376" s="16" t="str">
        <f ca="1">IFERROR(__xludf.DUMMYFUNCTION("""COMPUTED_VALUE"""),"Zepter")</f>
        <v>Zepter</v>
      </c>
      <c r="O376" s="8" t="str">
        <f ca="1">IFERROR(__xludf.DUMMYFUNCTION("""COMPUTED_VALUE"""),"MASTROVASILIS.D")</f>
        <v>MASTROVASILIS.D</v>
      </c>
      <c r="P376" s="8">
        <f ca="1">IFERROR(__xludf.DUMMYFUNCTION("""COMPUTED_VALUE"""),82)</f>
        <v>82</v>
      </c>
      <c r="Q376" s="8">
        <f ca="1">IFERROR(__xludf.DUMMYFUNCTION("""COMPUTED_VALUE"""),8)</f>
        <v>8</v>
      </c>
      <c r="R376" s="8">
        <f ca="1">IFERROR(__xludf.DUMMYFUNCTION("""COMPUTED_VALUE"""),656)</f>
        <v>656</v>
      </c>
      <c r="S376" s="8">
        <f ca="1">IFERROR(__xludf.DUMMYFUNCTION("""COMPUTED_VALUE"""),12.8)</f>
        <v>12.8</v>
      </c>
      <c r="T376" s="8">
        <f ca="1">IFERROR(__xludf.DUMMYFUNCTION("""COMPUTED_VALUE"""),668.8)</f>
        <v>668.8</v>
      </c>
      <c r="U376" s="8"/>
      <c r="V376" s="8"/>
      <c r="W376" s="8"/>
      <c r="X376" s="8"/>
      <c r="Y376" s="8"/>
      <c r="Z376" s="37" t="str">
        <f ca="1">IFERROR(__xludf.DUMMYFUNCTION("""COMPUTED_VALUE"""),"LH1737")</f>
        <v>LH1737</v>
      </c>
      <c r="AA376" s="37" t="str">
        <f ca="1">IFERROR(__xludf.DUMMYFUNCTION("""COMPUTED_VALUE"""),"27/10/2024")</f>
        <v>27/10/2024</v>
      </c>
      <c r="AB376" s="64">
        <f ca="1">IFERROR(__xludf.DUMMYFUNCTION("""COMPUTED_VALUE"""),0.725694444444444)</f>
        <v>0.72569444444444398</v>
      </c>
    </row>
    <row r="377" spans="1:28" ht="14.55" customHeight="1" x14ac:dyDescent="0.3">
      <c r="A377" s="8">
        <v>85</v>
      </c>
      <c r="B377" s="8"/>
      <c r="C377" s="8"/>
      <c r="D377" s="8" t="str">
        <f ca="1">IFERROR(__xludf.DUMMYFUNCTION("""COMPUTED_VALUE"""),"19/07/2024")</f>
        <v>19/07/2024</v>
      </c>
      <c r="E377" s="16" t="str">
        <f ca="1">IFERROR(__xludf.DUMMYFUNCTION("""COMPUTED_VALUE"""),"Player")</f>
        <v>Player</v>
      </c>
      <c r="F377" s="8" t="str">
        <f ca="1">IFERROR(__xludf.DUMMYFUNCTION("""COMPUTED_VALUE"""),"Ricken, Katharina")</f>
        <v>Ricken, Katharina</v>
      </c>
      <c r="G377" s="16" t="str">
        <f ca="1">IFERROR(__xludf.DUMMYFUNCTION("""COMPUTED_VALUE"""),"NED")</f>
        <v>NED</v>
      </c>
      <c r="H377" s="8"/>
      <c r="I377" s="8">
        <f ca="1">IFERROR(__xludf.DUMMYFUNCTION("""COMPUTED_VALUE"""),100)</f>
        <v>100</v>
      </c>
      <c r="J377" s="8"/>
      <c r="K377" s="8"/>
      <c r="L377" s="8" t="str">
        <f ca="1">IFERROR(__xludf.DUMMYFUNCTION("""COMPUTED_VALUE"""),"La Tour d'Ans-Loncin")</f>
        <v>La Tour d'Ans-Loncin</v>
      </c>
      <c r="M377" s="16" t="str">
        <f ca="1">IFERROR(__xludf.DUMMYFUNCTION("""COMPUTED_VALUE"""),"BEL")</f>
        <v>BEL</v>
      </c>
      <c r="N377" s="16" t="str">
        <f ca="1">IFERROR(__xludf.DUMMYFUNCTION("""COMPUTED_VALUE"""),"Fontana")</f>
        <v>Fontana</v>
      </c>
      <c r="O377" s="8" t="str">
        <f ca="1">IFERROR(__xludf.DUMMYFUNCTION("""COMPUTED_VALUE"""),"TERHUVEN Patrick")</f>
        <v>TERHUVEN Patrick</v>
      </c>
      <c r="P377" s="8">
        <f ca="1">IFERROR(__xludf.DUMMYFUNCTION("""COMPUTED_VALUE"""),84)</f>
        <v>84</v>
      </c>
      <c r="Q377" s="8">
        <f ca="1">IFERROR(__xludf.DUMMYFUNCTION("""COMPUTED_VALUE"""),9)</f>
        <v>9</v>
      </c>
      <c r="R377" s="8">
        <f ca="1">IFERROR(__xludf.DUMMYFUNCTION("""COMPUTED_VALUE"""),756)</f>
        <v>756</v>
      </c>
      <c r="S377" s="8">
        <f ca="1">IFERROR(__xludf.DUMMYFUNCTION("""COMPUTED_VALUE"""),14.4)</f>
        <v>14.4</v>
      </c>
      <c r="T377" s="8">
        <f ca="1">IFERROR(__xludf.DUMMYFUNCTION("""COMPUTED_VALUE"""),770.4)</f>
        <v>770.4</v>
      </c>
      <c r="U377" s="8"/>
      <c r="V377" s="8"/>
      <c r="W377" s="8"/>
      <c r="X377" s="8" t="str">
        <f ca="1">IFERROR(__xludf.DUMMYFUNCTION("""COMPUTED_VALUE"""),"a large bed is desired")</f>
        <v>a large bed is desired</v>
      </c>
      <c r="Y377" s="8"/>
      <c r="Z377" s="37" t="str">
        <f ca="1">IFERROR(__xludf.DUMMYFUNCTION("""COMPUTED_VALUE"""),"JU 362")</f>
        <v>JU 362</v>
      </c>
      <c r="AA377" s="37" t="str">
        <f ca="1">IFERROR(__xludf.DUMMYFUNCTION("""COMPUTED_VALUE"""),"28/10/2024")</f>
        <v>28/10/2024</v>
      </c>
      <c r="AB377" s="64">
        <f ca="1">IFERROR(__xludf.DUMMYFUNCTION("""COMPUTED_VALUE"""),0.725694444444444)</f>
        <v>0.72569444444444398</v>
      </c>
    </row>
    <row r="378" spans="1:28" ht="14.55" customHeight="1" x14ac:dyDescent="0.3">
      <c r="A378" s="8">
        <v>86</v>
      </c>
      <c r="B378" s="8"/>
      <c r="C378" s="8"/>
      <c r="D378" s="8" t="str">
        <f ca="1">IFERROR(__xludf.DUMMYFUNCTION("""COMPUTED_VALUE"""),"19/07/2024")</f>
        <v>19/07/2024</v>
      </c>
      <c r="E378" s="16" t="str">
        <f ca="1">IFERROR(__xludf.DUMMYFUNCTION("""COMPUTED_VALUE"""),"Player")</f>
        <v>Player</v>
      </c>
      <c r="F378" s="8" t="str">
        <f ca="1">IFERROR(__xludf.DUMMYFUNCTION("""COMPUTED_VALUE"""),"Terhuven, Patrick")</f>
        <v>Terhuven, Patrick</v>
      </c>
      <c r="G378" s="16" t="str">
        <f ca="1">IFERROR(__xludf.DUMMYFUNCTION("""COMPUTED_VALUE"""),"GER")</f>
        <v>GER</v>
      </c>
      <c r="H378" s="8"/>
      <c r="I378" s="8">
        <f ca="1">IFERROR(__xludf.DUMMYFUNCTION("""COMPUTED_VALUE"""),100)</f>
        <v>100</v>
      </c>
      <c r="J378" s="8"/>
      <c r="K378" s="8"/>
      <c r="L378" s="8" t="str">
        <f ca="1">IFERROR(__xludf.DUMMYFUNCTION("""COMPUTED_VALUE"""),"La Tour d'Ans-Loncin")</f>
        <v>La Tour d'Ans-Loncin</v>
      </c>
      <c r="M378" s="16" t="str">
        <f ca="1">IFERROR(__xludf.DUMMYFUNCTION("""COMPUTED_VALUE"""),"BEL")</f>
        <v>BEL</v>
      </c>
      <c r="N378" s="16" t="str">
        <f ca="1">IFERROR(__xludf.DUMMYFUNCTION("""COMPUTED_VALUE"""),"Fontana")</f>
        <v>Fontana</v>
      </c>
      <c r="O378" s="8" t="str">
        <f ca="1">IFERROR(__xludf.DUMMYFUNCTION("""COMPUTED_VALUE"""),"RICKEN Katharina")</f>
        <v>RICKEN Katharina</v>
      </c>
      <c r="P378" s="8">
        <f ca="1">IFERROR(__xludf.DUMMYFUNCTION("""COMPUTED_VALUE"""),84)</f>
        <v>84</v>
      </c>
      <c r="Q378" s="8">
        <f ca="1">IFERROR(__xludf.DUMMYFUNCTION("""COMPUTED_VALUE"""),9)</f>
        <v>9</v>
      </c>
      <c r="R378" s="8">
        <f ca="1">IFERROR(__xludf.DUMMYFUNCTION("""COMPUTED_VALUE"""),756)</f>
        <v>756</v>
      </c>
      <c r="S378" s="8">
        <f ca="1">IFERROR(__xludf.DUMMYFUNCTION("""COMPUTED_VALUE"""),14.4)</f>
        <v>14.4</v>
      </c>
      <c r="T378" s="8">
        <f ca="1">IFERROR(__xludf.DUMMYFUNCTION("""COMPUTED_VALUE"""),770.4)</f>
        <v>770.4</v>
      </c>
      <c r="U378" s="8"/>
      <c r="V378" s="8"/>
      <c r="W378" s="8"/>
      <c r="X378" s="8" t="str">
        <f ca="1">IFERROR(__xludf.DUMMYFUNCTION("""COMPUTED_VALUE"""),"a large bed is desired")</f>
        <v>a large bed is desired</v>
      </c>
      <c r="Y378" s="8"/>
      <c r="Z378" s="37" t="str">
        <f ca="1">IFERROR(__xludf.DUMMYFUNCTION("""COMPUTED_VALUE"""),"JU 362")</f>
        <v>JU 362</v>
      </c>
      <c r="AA378" s="37" t="str">
        <f ca="1">IFERROR(__xludf.DUMMYFUNCTION("""COMPUTED_VALUE"""),"28/10/2024")</f>
        <v>28/10/2024</v>
      </c>
      <c r="AB378" s="64">
        <f ca="1">IFERROR(__xludf.DUMMYFUNCTION("""COMPUTED_VALUE"""),0.725694444444444)</f>
        <v>0.72569444444444398</v>
      </c>
    </row>
    <row r="379" spans="1:28" ht="14.55" customHeight="1" x14ac:dyDescent="0.3">
      <c r="A379" s="8">
        <v>87</v>
      </c>
      <c r="B379" s="8"/>
      <c r="C379" s="8"/>
      <c r="D379" s="8" t="str">
        <f ca="1">IFERROR(__xludf.DUMMYFUNCTION("""COMPUTED_VALUE"""),"14/08/2024")</f>
        <v>14/08/2024</v>
      </c>
      <c r="E379" s="16" t="str">
        <f ca="1">IFERROR(__xludf.DUMMYFUNCTION("""COMPUTED_VALUE"""),"Player")</f>
        <v>Player</v>
      </c>
      <c r="F379" s="8" t="str">
        <f ca="1">IFERROR(__xludf.DUMMYFUNCTION("""COMPUTED_VALUE"""),"Eljanov, Pavel")</f>
        <v>Eljanov, Pavel</v>
      </c>
      <c r="G379" s="16" t="str">
        <f ca="1">IFERROR(__xludf.DUMMYFUNCTION("""COMPUTED_VALUE"""),"UKR")</f>
        <v>UKR</v>
      </c>
      <c r="H379" s="8"/>
      <c r="I379" s="8">
        <f ca="1">IFERROR(__xludf.DUMMYFUNCTION("""COMPUTED_VALUE"""),100)</f>
        <v>100</v>
      </c>
      <c r="J379" s="8"/>
      <c r="K379" s="8"/>
      <c r="L379" s="8" t="str">
        <f ca="1">IFERROR(__xludf.DUMMYFUNCTION("""COMPUTED_VALUE"""),"Tuxera-Aquaprofit Nagykanizsa")</f>
        <v>Tuxera-Aquaprofit Nagykanizsa</v>
      </c>
      <c r="M379" s="16" t="str">
        <f ca="1">IFERROR(__xludf.DUMMYFUNCTION("""COMPUTED_VALUE"""),"HUN")</f>
        <v>HUN</v>
      </c>
      <c r="N379" s="16" t="str">
        <f ca="1">IFERROR(__xludf.DUMMYFUNCTION("""COMPUTED_VALUE"""),"Zepter")</f>
        <v>Zepter</v>
      </c>
      <c r="O379" s="8"/>
      <c r="P379" s="8">
        <f ca="1">IFERROR(__xludf.DUMMYFUNCTION("""COMPUTED_VALUE"""),104)</f>
        <v>104</v>
      </c>
      <c r="Q379" s="8">
        <f ca="1">IFERROR(__xludf.DUMMYFUNCTION("""COMPUTED_VALUE"""),8)</f>
        <v>8</v>
      </c>
      <c r="R379" s="8">
        <f ca="1">IFERROR(__xludf.DUMMYFUNCTION("""COMPUTED_VALUE"""),832)</f>
        <v>832</v>
      </c>
      <c r="S379" s="8">
        <f ca="1">IFERROR(__xludf.DUMMYFUNCTION("""COMPUTED_VALUE"""),12.8)</f>
        <v>12.8</v>
      </c>
      <c r="T379" s="8">
        <f ca="1">IFERROR(__xludf.DUMMYFUNCTION("""COMPUTED_VALUE"""),844.8)</f>
        <v>844.8</v>
      </c>
      <c r="U379" s="8"/>
      <c r="V379" s="8"/>
      <c r="W379" s="8"/>
      <c r="X379" s="8" t="str">
        <f ca="1">IFERROR(__xludf.DUMMYFUNCTION("""COMPUTED_VALUE"""),"Fontana ili Tonanti")</f>
        <v>Fontana ili Tonanti</v>
      </c>
      <c r="Y379" s="8"/>
      <c r="Z379" s="37" t="str">
        <f ca="1">IFERROR(__xludf.DUMMYFUNCTION("""COMPUTED_VALUE"""),"LH1737")</f>
        <v>LH1737</v>
      </c>
      <c r="AA379" s="37" t="str">
        <f ca="1">IFERROR(__xludf.DUMMYFUNCTION("""COMPUTED_VALUE"""),"27/10/2024")</f>
        <v>27/10/2024</v>
      </c>
      <c r="AB379" s="64">
        <f ca="1">IFERROR(__xludf.DUMMYFUNCTION("""COMPUTED_VALUE"""),0.725694444444444)</f>
        <v>0.72569444444444398</v>
      </c>
    </row>
    <row r="380" spans="1:28" ht="14.55" customHeight="1" x14ac:dyDescent="0.3">
      <c r="A380" s="8">
        <v>88</v>
      </c>
      <c r="B380" s="8"/>
      <c r="C380" s="8"/>
      <c r="D380" s="8"/>
      <c r="E380" s="29" t="s">
        <v>12</v>
      </c>
      <c r="F380" s="8" t="s">
        <v>6</v>
      </c>
      <c r="G380" s="16"/>
      <c r="H380" s="8"/>
      <c r="I380" s="8"/>
      <c r="J380" s="8"/>
      <c r="K380" s="8"/>
      <c r="L380" s="8"/>
      <c r="M380" s="16"/>
      <c r="N380" s="16"/>
      <c r="O380" s="8"/>
      <c r="P380" s="8"/>
      <c r="Q380" s="8"/>
      <c r="R380" s="8">
        <f ca="1">IFERROR(__xludf.DUMMYFUNCTION("""COMPUTED_VALUE"""),0)</f>
        <v>0</v>
      </c>
      <c r="S380" s="8">
        <f ca="1">IFERROR(__xludf.DUMMYFUNCTION("""COMPUTED_VALUE"""),0)</f>
        <v>0</v>
      </c>
      <c r="T380" s="8">
        <f ca="1">IFERROR(__xludf.DUMMYFUNCTION("""COMPUTED_VALUE"""),0)</f>
        <v>0</v>
      </c>
      <c r="U380" s="8"/>
      <c r="V380" s="8"/>
      <c r="W380" s="8"/>
      <c r="X380" s="8"/>
      <c r="Y380" s="8"/>
      <c r="Z380" s="37" t="str">
        <f ca="1">IFERROR(__xludf.DUMMYFUNCTION("""COMPUTED_VALUE"""),"LH1737")</f>
        <v>LH1737</v>
      </c>
      <c r="AA380" s="37" t="str">
        <f ca="1">IFERROR(__xludf.DUMMYFUNCTION("""COMPUTED_VALUE"""),"27/10/2024")</f>
        <v>27/10/2024</v>
      </c>
      <c r="AB380" s="64">
        <f ca="1">IFERROR(__xludf.DUMMYFUNCTION("""COMPUTED_VALUE"""),0.725694444444444)</f>
        <v>0.72569444444444398</v>
      </c>
    </row>
    <row r="381" spans="1:28" ht="14.55" customHeight="1" x14ac:dyDescent="0.3">
      <c r="A381" s="8">
        <v>89</v>
      </c>
      <c r="B381" s="8"/>
      <c r="C381" s="8"/>
      <c r="D381" s="8" t="str">
        <f ca="1">IFERROR(__xludf.DUMMYFUNCTION("""COMPUTED_VALUE"""),"14/08/2024")</f>
        <v>14/08/2024</v>
      </c>
      <c r="E381" s="16" t="str">
        <f ca="1">IFERROR(__xludf.DUMMYFUNCTION("""COMPUTED_VALUE"""),"Player")</f>
        <v>Player</v>
      </c>
      <c r="F381" s="8" t="str">
        <f ca="1">IFERROR(__xludf.DUMMYFUNCTION("""COMPUTED_VALUE"""),"Wedberg, Tom")</f>
        <v>Wedberg, Tom</v>
      </c>
      <c r="G381" s="16" t="str">
        <f ca="1">IFERROR(__xludf.DUMMYFUNCTION("""COMPUTED_VALUE"""),"SWE")</f>
        <v>SWE</v>
      </c>
      <c r="H381" s="8"/>
      <c r="I381" s="8">
        <f ca="1">IFERROR(__xludf.DUMMYFUNCTION("""COMPUTED_VALUE"""),100)</f>
        <v>100</v>
      </c>
      <c r="J381" s="8"/>
      <c r="K381" s="8"/>
      <c r="L381" s="8" t="str">
        <f ca="1">IFERROR(__xludf.DUMMYFUNCTION("""COMPUTED_VALUE"""),"Wasa SK")</f>
        <v>Wasa SK</v>
      </c>
      <c r="M381" s="16" t="str">
        <f ca="1">IFERROR(__xludf.DUMMYFUNCTION("""COMPUTED_VALUE"""),"SWE")</f>
        <v>SWE</v>
      </c>
      <c r="N381" s="16" t="str">
        <f ca="1">IFERROR(__xludf.DUMMYFUNCTION("""COMPUTED_VALUE"""),"Zepter")</f>
        <v>Zepter</v>
      </c>
      <c r="O381" s="8"/>
      <c r="P381" s="8">
        <f ca="1">IFERROR(__xludf.DUMMYFUNCTION("""COMPUTED_VALUE"""),104)</f>
        <v>104</v>
      </c>
      <c r="Q381" s="8">
        <f ca="1">IFERROR(__xludf.DUMMYFUNCTION("""COMPUTED_VALUE"""),8)</f>
        <v>8</v>
      </c>
      <c r="R381" s="8">
        <f ca="1">IFERROR(__xludf.DUMMYFUNCTION("""COMPUTED_VALUE"""),832)</f>
        <v>832</v>
      </c>
      <c r="S381" s="8">
        <f ca="1">IFERROR(__xludf.DUMMYFUNCTION("""COMPUTED_VALUE"""),12.8)</f>
        <v>12.8</v>
      </c>
      <c r="T381" s="8">
        <f ca="1">IFERROR(__xludf.DUMMYFUNCTION("""COMPUTED_VALUE"""),844.8)</f>
        <v>844.8</v>
      </c>
      <c r="U381" s="8"/>
      <c r="V381" s="8"/>
      <c r="W381" s="8"/>
      <c r="X381" s="8" t="str">
        <f ca="1">IFERROR(__xludf.DUMMYFUNCTION("""COMPUTED_VALUE"""),"Tonanti ili Fontana")</f>
        <v>Tonanti ili Fontana</v>
      </c>
      <c r="Y381" s="8"/>
      <c r="Z381" s="37" t="str">
        <f ca="1">IFERROR(__xludf.DUMMYFUNCTION("""COMPUTED_VALUE"""),"JU 382")</f>
        <v>JU 382</v>
      </c>
      <c r="AA381" s="37" t="str">
        <f ca="1">IFERROR(__xludf.DUMMYFUNCTION("""COMPUTED_VALUE"""),"27/10/2024")</f>
        <v>27/10/2024</v>
      </c>
      <c r="AB381" s="64">
        <f ca="1">IFERROR(__xludf.DUMMYFUNCTION("""COMPUTED_VALUE"""),0.729166666666666)</f>
        <v>0.72916666666666596</v>
      </c>
    </row>
    <row r="382" spans="1:28" ht="14.55" customHeight="1" x14ac:dyDescent="0.3">
      <c r="A382" s="8">
        <v>90</v>
      </c>
      <c r="B382" s="8"/>
      <c r="C382" s="8" t="str">
        <f ca="1">IFERROR(__xludf.DUMMYFUNCTION("""COMPUTED_VALUE"""),"NEW insted of Thomas Engqvist")</f>
        <v>NEW insted of Thomas Engqvist</v>
      </c>
      <c r="D382" s="8" t="str">
        <f ca="1">IFERROR(__xludf.DUMMYFUNCTION("""COMPUTED_VALUE"""),"14/08/2024")</f>
        <v>14/08/2024</v>
      </c>
      <c r="E382" s="16" t="str">
        <f ca="1">IFERROR(__xludf.DUMMYFUNCTION("""COMPUTED_VALUE"""),"Player")</f>
        <v>Player</v>
      </c>
      <c r="F382" s="8" t="str">
        <f ca="1">IFERROR(__xludf.DUMMYFUNCTION("""COMPUTED_VALUE"""),"Mustaps, Matiss")</f>
        <v>Mustaps, Matiss</v>
      </c>
      <c r="G382" s="16" t="str">
        <f ca="1">IFERROR(__xludf.DUMMYFUNCTION("""COMPUTED_VALUE"""),"LAT")</f>
        <v>LAT</v>
      </c>
      <c r="H382" s="8"/>
      <c r="I382" s="8">
        <f ca="1">IFERROR(__xludf.DUMMYFUNCTION("""COMPUTED_VALUE"""),100)</f>
        <v>100</v>
      </c>
      <c r="J382" s="8"/>
      <c r="K382" s="8"/>
      <c r="L382" s="8" t="str">
        <f ca="1">IFERROR(__xludf.DUMMYFUNCTION("""COMPUTED_VALUE"""),"Wasa SK")</f>
        <v>Wasa SK</v>
      </c>
      <c r="M382" s="16" t="str">
        <f ca="1">IFERROR(__xludf.DUMMYFUNCTION("""COMPUTED_VALUE"""),"SWE")</f>
        <v>SWE</v>
      </c>
      <c r="N382" s="16" t="str">
        <f ca="1">IFERROR(__xludf.DUMMYFUNCTION("""COMPUTED_VALUE"""),"Zepter")</f>
        <v>Zepter</v>
      </c>
      <c r="O382" s="8"/>
      <c r="P382" s="8">
        <f ca="1">IFERROR(__xludf.DUMMYFUNCTION("""COMPUTED_VALUE"""),104)</f>
        <v>104</v>
      </c>
      <c r="Q382" s="8">
        <f ca="1">IFERROR(__xludf.DUMMYFUNCTION("""COMPUTED_VALUE"""),8)</f>
        <v>8</v>
      </c>
      <c r="R382" s="8">
        <f ca="1">IFERROR(__xludf.DUMMYFUNCTION("""COMPUTED_VALUE"""),832)</f>
        <v>832</v>
      </c>
      <c r="S382" s="8">
        <f ca="1">IFERROR(__xludf.DUMMYFUNCTION("""COMPUTED_VALUE"""),12.8)</f>
        <v>12.8</v>
      </c>
      <c r="T382" s="8">
        <f ca="1">IFERROR(__xludf.DUMMYFUNCTION("""COMPUTED_VALUE"""),844.8)</f>
        <v>844.8</v>
      </c>
      <c r="U382" s="8"/>
      <c r="V382" s="8"/>
      <c r="W382" s="8"/>
      <c r="X382" s="8" t="str">
        <f ca="1">IFERROR(__xludf.DUMMYFUNCTION("""COMPUTED_VALUE"""),"Tonanti ili Fontana")</f>
        <v>Tonanti ili Fontana</v>
      </c>
      <c r="Y382" s="8"/>
      <c r="Z382" s="37" t="str">
        <f ca="1">IFERROR(__xludf.DUMMYFUNCTION("""COMPUTED_VALUE"""),"JU 158")</f>
        <v>JU 158</v>
      </c>
      <c r="AA382" s="37" t="str">
        <f ca="1">IFERROR(__xludf.DUMMYFUNCTION("""COMPUTED_VALUE"""),"27/10/2024")</f>
        <v>27/10/2024</v>
      </c>
      <c r="AB382" s="64">
        <f ca="1">IFERROR(__xludf.DUMMYFUNCTION("""COMPUTED_VALUE"""),0.729166666666666)</f>
        <v>0.72916666666666596</v>
      </c>
    </row>
    <row r="383" spans="1:28" ht="14.55" customHeight="1" x14ac:dyDescent="0.3">
      <c r="A383" s="8">
        <v>91</v>
      </c>
      <c r="B383" s="8"/>
      <c r="C383" s="8"/>
      <c r="D383" s="8" t="str">
        <f ca="1">IFERROR(__xludf.DUMMYFUNCTION("""COMPUTED_VALUE"""),"14/08/2024")</f>
        <v>14/08/2024</v>
      </c>
      <c r="E383" s="16" t="str">
        <f ca="1">IFERROR(__xludf.DUMMYFUNCTION("""COMPUTED_VALUE"""),"Player")</f>
        <v>Player</v>
      </c>
      <c r="F383" s="8" t="str">
        <f ca="1">IFERROR(__xludf.DUMMYFUNCTION("""COMPUTED_VALUE"""),"Lavendelis, Egons")</f>
        <v>Lavendelis, Egons</v>
      </c>
      <c r="G383" s="16" t="str">
        <f ca="1">IFERROR(__xludf.DUMMYFUNCTION("""COMPUTED_VALUE"""),"LAT")</f>
        <v>LAT</v>
      </c>
      <c r="H383" s="8"/>
      <c r="I383" s="8">
        <f ca="1">IFERROR(__xludf.DUMMYFUNCTION("""COMPUTED_VALUE"""),100)</f>
        <v>100</v>
      </c>
      <c r="J383" s="8"/>
      <c r="K383" s="8"/>
      <c r="L383" s="8" t="str">
        <f ca="1">IFERROR(__xludf.DUMMYFUNCTION("""COMPUTED_VALUE"""),"Wasa SK")</f>
        <v>Wasa SK</v>
      </c>
      <c r="M383" s="16" t="str">
        <f ca="1">IFERROR(__xludf.DUMMYFUNCTION("""COMPUTED_VALUE"""),"SWE")</f>
        <v>SWE</v>
      </c>
      <c r="N383" s="16" t="str">
        <f ca="1">IFERROR(__xludf.DUMMYFUNCTION("""COMPUTED_VALUE"""),"Zepter")</f>
        <v>Zepter</v>
      </c>
      <c r="O383" s="8"/>
      <c r="P383" s="8">
        <f ca="1">IFERROR(__xludf.DUMMYFUNCTION("""COMPUTED_VALUE"""),104)</f>
        <v>104</v>
      </c>
      <c r="Q383" s="8">
        <f ca="1">IFERROR(__xludf.DUMMYFUNCTION("""COMPUTED_VALUE"""),8)</f>
        <v>8</v>
      </c>
      <c r="R383" s="8">
        <f ca="1">IFERROR(__xludf.DUMMYFUNCTION("""COMPUTED_VALUE"""),832)</f>
        <v>832</v>
      </c>
      <c r="S383" s="8">
        <f ca="1">IFERROR(__xludf.DUMMYFUNCTION("""COMPUTED_VALUE"""),12.8)</f>
        <v>12.8</v>
      </c>
      <c r="T383" s="8">
        <f ca="1">IFERROR(__xludf.DUMMYFUNCTION("""COMPUTED_VALUE"""),844.8)</f>
        <v>844.8</v>
      </c>
      <c r="U383" s="8"/>
      <c r="V383" s="8"/>
      <c r="W383" s="8"/>
      <c r="X383" s="8" t="str">
        <f ca="1">IFERROR(__xludf.DUMMYFUNCTION("""COMPUTED_VALUE"""),"Tonanti ili Fontana")</f>
        <v>Tonanti ili Fontana</v>
      </c>
      <c r="Y383" s="8"/>
      <c r="Z383" s="37" t="str">
        <f ca="1">IFERROR(__xludf.DUMMYFUNCTION("""COMPUTED_VALUE"""),"JU 158")</f>
        <v>JU 158</v>
      </c>
      <c r="AA383" s="37" t="str">
        <f ca="1">IFERROR(__xludf.DUMMYFUNCTION("""COMPUTED_VALUE"""),"27/10/2024")</f>
        <v>27/10/2024</v>
      </c>
      <c r="AB383" s="64">
        <f ca="1">IFERROR(__xludf.DUMMYFUNCTION("""COMPUTED_VALUE"""),0.729166666666666)</f>
        <v>0.72916666666666596</v>
      </c>
    </row>
    <row r="384" spans="1:28" ht="14.55" customHeight="1" x14ac:dyDescent="0.3">
      <c r="A384" s="8">
        <v>92</v>
      </c>
      <c r="B384" s="8"/>
      <c r="C384" s="8"/>
      <c r="D384" s="8" t="str">
        <f ca="1">IFERROR(__xludf.DUMMYFUNCTION("""COMPUTED_VALUE"""),"14/08/2024")</f>
        <v>14/08/2024</v>
      </c>
      <c r="E384" s="16" t="str">
        <f ca="1">IFERROR(__xludf.DUMMYFUNCTION("""COMPUTED_VALUE"""),"Player")</f>
        <v>Player</v>
      </c>
      <c r="F384" s="8" t="str">
        <f ca="1">IFERROR(__xludf.DUMMYFUNCTION("""COMPUTED_VALUE"""),"Rogule, Laura")</f>
        <v>Rogule, Laura</v>
      </c>
      <c r="G384" s="8" t="str">
        <f ca="1">IFERROR(__xludf.DUMMYFUNCTION("""COMPUTED_VALUE"""),"LAT")</f>
        <v>LAT</v>
      </c>
      <c r="H384" s="8"/>
      <c r="I384" s="8">
        <f ca="1">IFERROR(__xludf.DUMMYFUNCTION("""COMPUTED_VALUE"""),100)</f>
        <v>100</v>
      </c>
      <c r="J384" s="8"/>
      <c r="K384" s="8"/>
      <c r="L384" s="8" t="str">
        <f ca="1">IFERROR(__xludf.DUMMYFUNCTION("""COMPUTED_VALUE"""),"Wasa SK")</f>
        <v>Wasa SK</v>
      </c>
      <c r="M384" s="8" t="str">
        <f ca="1">IFERROR(__xludf.DUMMYFUNCTION("""COMPUTED_VALUE"""),"SWE")</f>
        <v>SWE</v>
      </c>
      <c r="N384" s="16" t="str">
        <f ca="1">IFERROR(__xludf.DUMMYFUNCTION("""COMPUTED_VALUE"""),"Zepter")</f>
        <v>Zepter</v>
      </c>
      <c r="O384" s="8" t="str">
        <f ca="1">IFERROR(__xludf.DUMMYFUNCTION("""COMPUTED_VALUE"""),"Single")</f>
        <v>Single</v>
      </c>
      <c r="P384" s="8"/>
      <c r="Q384" s="8">
        <f ca="1">IFERROR(__xludf.DUMMYFUNCTION("""COMPUTED_VALUE"""),8)</f>
        <v>8</v>
      </c>
      <c r="R384" s="8">
        <f ca="1">IFERROR(__xludf.DUMMYFUNCTION("""COMPUTED_VALUE"""),832)</f>
        <v>832</v>
      </c>
      <c r="S384" s="8">
        <f ca="1">IFERROR(__xludf.DUMMYFUNCTION("""COMPUTED_VALUE"""),12.8)</f>
        <v>12.8</v>
      </c>
      <c r="T384" s="8">
        <f ca="1">IFERROR(__xludf.DUMMYFUNCTION("""COMPUTED_VALUE"""),844.8)</f>
        <v>844.8</v>
      </c>
      <c r="U384" s="8"/>
      <c r="V384" s="8"/>
      <c r="W384" s="8"/>
      <c r="X384" s="8" t="str">
        <f ca="1">IFERROR(__xludf.DUMMYFUNCTION("""COMPUTED_VALUE"""),"Tonanti ili Fontana")</f>
        <v>Tonanti ili Fontana</v>
      </c>
      <c r="Y384" s="8"/>
      <c r="Z384" s="37" t="str">
        <f ca="1">IFERROR(__xludf.DUMMYFUNCTION("""COMPUTED_VALUE"""),"JU 158")</f>
        <v>JU 158</v>
      </c>
      <c r="AA384" s="37" t="str">
        <f ca="1">IFERROR(__xludf.DUMMYFUNCTION("""COMPUTED_VALUE"""),"27/10/2024")</f>
        <v>27/10/2024</v>
      </c>
      <c r="AB384" s="64">
        <f ca="1">IFERROR(__xludf.DUMMYFUNCTION("""COMPUTED_VALUE"""),0.729166666666666)</f>
        <v>0.72916666666666596</v>
      </c>
    </row>
    <row r="385" spans="1:28" ht="14.55" customHeight="1" x14ac:dyDescent="0.3">
      <c r="A385" s="8">
        <v>93</v>
      </c>
      <c r="B385" s="8"/>
      <c r="C385" s="8"/>
      <c r="D385" s="8" t="str">
        <f ca="1">IFERROR(__xludf.DUMMYFUNCTION("""COMPUTED_VALUE"""),"28/08/2024")</f>
        <v>28/08/2024</v>
      </c>
      <c r="E385" s="16" t="str">
        <f ca="1">IFERROR(__xludf.DUMMYFUNCTION("""COMPUTED_VALUE"""),"Player")</f>
        <v>Player</v>
      </c>
      <c r="F385" s="8" t="str">
        <f ca="1">IFERROR(__xludf.DUMMYFUNCTION("""COMPUTED_VALUE"""),"Wagner, Dinara")</f>
        <v>Wagner, Dinara</v>
      </c>
      <c r="G385" s="8" t="str">
        <f ca="1">IFERROR(__xludf.DUMMYFUNCTION("""COMPUTED_VALUE"""),"GER")</f>
        <v>GER</v>
      </c>
      <c r="H385" s="8"/>
      <c r="I385" s="8">
        <f ca="1">IFERROR(__xludf.DUMMYFUNCTION("""COMPUTED_VALUE"""),100)</f>
        <v>100</v>
      </c>
      <c r="J385" s="8"/>
      <c r="K385" s="8"/>
      <c r="L385" s="8" t="str">
        <f ca="1">IFERROR(__xludf.DUMMYFUNCTION("""COMPUTED_VALUE"""),"SuperChess")</f>
        <v>SuperChess</v>
      </c>
      <c r="M385" s="8" t="str">
        <f ca="1">IFERROR(__xludf.DUMMYFUNCTION("""COMPUTED_VALUE"""),"ROU")</f>
        <v>ROU</v>
      </c>
      <c r="N385" s="16" t="str">
        <f ca="1">IFERROR(__xludf.DUMMYFUNCTION("""COMPUTED_VALUE"""),"Kocka")</f>
        <v>Kocka</v>
      </c>
      <c r="O385" s="8" t="str">
        <f ca="1">IFERROR(__xludf.DUMMYFUNCTION("""COMPUTED_VALUE"""),"Single")</f>
        <v>Single</v>
      </c>
      <c r="P385" s="8"/>
      <c r="Q385" s="8">
        <f ca="1">IFERROR(__xludf.DUMMYFUNCTION("""COMPUTED_VALUE"""),8)</f>
        <v>8</v>
      </c>
      <c r="R385" s="8">
        <f ca="1">IFERROR(__xludf.DUMMYFUNCTION("""COMPUTED_VALUE"""),832)</f>
        <v>832</v>
      </c>
      <c r="S385" s="8">
        <f ca="1">IFERROR(__xludf.DUMMYFUNCTION("""COMPUTED_VALUE"""),12.8)</f>
        <v>12.8</v>
      </c>
      <c r="T385" s="8">
        <f ca="1">IFERROR(__xludf.DUMMYFUNCTION("""COMPUTED_VALUE"""),844.8)</f>
        <v>844.8</v>
      </c>
      <c r="U385" s="8"/>
      <c r="V385" s="8"/>
      <c r="W385" s="8"/>
      <c r="X385" s="8"/>
      <c r="Y385" s="8"/>
      <c r="Z385" s="37" t="str">
        <f ca="1">IFERROR(__xludf.DUMMYFUNCTION("""COMPUTED_VALUE"""),"JU 352")</f>
        <v>JU 352</v>
      </c>
      <c r="AA385" s="37" t="str">
        <f ca="1">IFERROR(__xludf.DUMMYFUNCTION("""COMPUTED_VALUE"""),"27/10/2024")</f>
        <v>27/10/2024</v>
      </c>
      <c r="AB385" s="64">
        <f ca="1">IFERROR(__xludf.DUMMYFUNCTION("""COMPUTED_VALUE"""),0.732638888888888)</f>
        <v>0.73263888888888795</v>
      </c>
    </row>
    <row r="386" spans="1:28" ht="14.55" customHeight="1" x14ac:dyDescent="0.3">
      <c r="A386" s="8">
        <v>94</v>
      </c>
      <c r="B386" s="8"/>
      <c r="C386" s="8"/>
      <c r="D386" s="8" t="str">
        <f ca="1">IFERROR(__xludf.DUMMYFUNCTION("""COMPUTED_VALUE"""),"14/08/2024")</f>
        <v>14/08/2024</v>
      </c>
      <c r="E386" s="16" t="str">
        <f ca="1">IFERROR(__xludf.DUMMYFUNCTION("""COMPUTED_VALUE"""),"Player")</f>
        <v>Player</v>
      </c>
      <c r="F386" s="8" t="str">
        <f ca="1">IFERROR(__xludf.DUMMYFUNCTION("""COMPUTED_VALUE"""),"Sandvik, Thomas")</f>
        <v>Sandvik, Thomas</v>
      </c>
      <c r="G386" s="16" t="str">
        <f ca="1">IFERROR(__xludf.DUMMYFUNCTION("""COMPUTED_VALUE"""),"FIN")</f>
        <v>FIN</v>
      </c>
      <c r="H386" s="8"/>
      <c r="I386" s="8">
        <f ca="1">IFERROR(__xludf.DUMMYFUNCTION("""COMPUTED_VALUE"""),100)</f>
        <v>100</v>
      </c>
      <c r="J386" s="8"/>
      <c r="K386" s="8"/>
      <c r="L386" s="8" t="str">
        <f ca="1">IFERROR(__xludf.DUMMYFUNCTION("""COMPUTED_VALUE"""),"Raahen Linnoitus")</f>
        <v>Raahen Linnoitus</v>
      </c>
      <c r="M386" s="16" t="str">
        <f ca="1">IFERROR(__xludf.DUMMYFUNCTION("""COMPUTED_VALUE"""),"FIN")</f>
        <v>FIN</v>
      </c>
      <c r="N386" s="16" t="str">
        <f ca="1">IFERROR(__xludf.DUMMYFUNCTION("""COMPUTED_VALUE"""),"Fontana")</f>
        <v>Fontana</v>
      </c>
      <c r="O386" s="8"/>
      <c r="P386" s="8">
        <f ca="1">IFERROR(__xludf.DUMMYFUNCTION("""COMPUTED_VALUE"""),104)</f>
        <v>104</v>
      </c>
      <c r="Q386" s="8">
        <f ca="1">IFERROR(__xludf.DUMMYFUNCTION("""COMPUTED_VALUE"""),8)</f>
        <v>8</v>
      </c>
      <c r="R386" s="8">
        <f ca="1">IFERROR(__xludf.DUMMYFUNCTION("""COMPUTED_VALUE"""),832)</f>
        <v>832</v>
      </c>
      <c r="S386" s="8">
        <f ca="1">IFERROR(__xludf.DUMMYFUNCTION("""COMPUTED_VALUE"""),12.8)</f>
        <v>12.8</v>
      </c>
      <c r="T386" s="8">
        <f ca="1">IFERROR(__xludf.DUMMYFUNCTION("""COMPUTED_VALUE"""),844.8)</f>
        <v>844.8</v>
      </c>
      <c r="U386" s="8"/>
      <c r="V386" s="8"/>
      <c r="W386" s="8"/>
      <c r="X386" s="8"/>
      <c r="Y386" s="8"/>
      <c r="Z386" s="37" t="str">
        <f ca="1">IFERROR(__xludf.DUMMYFUNCTION("""COMPUTED_VALUE"""),"JU174")</f>
        <v>JU174</v>
      </c>
      <c r="AA386" s="37" t="str">
        <f ca="1">IFERROR(__xludf.DUMMYFUNCTION("""COMPUTED_VALUE"""),"27/10/2024")</f>
        <v>27/10/2024</v>
      </c>
      <c r="AB386" s="64">
        <f ca="1">IFERROR(__xludf.DUMMYFUNCTION("""COMPUTED_VALUE"""),0.736111111111111)</f>
        <v>0.73611111111111105</v>
      </c>
    </row>
    <row r="387" spans="1:28" ht="14.55" customHeight="1" x14ac:dyDescent="0.3">
      <c r="A387" s="8">
        <v>95</v>
      </c>
      <c r="B387" s="8"/>
      <c r="C387" s="8"/>
      <c r="D387" s="8" t="str">
        <f ca="1">IFERROR(__xludf.DUMMYFUNCTION("""COMPUTED_VALUE"""),"31/07/2024")</f>
        <v>31/07/2024</v>
      </c>
      <c r="E387" s="16" t="str">
        <f ca="1">IFERROR(__xludf.DUMMYFUNCTION("""COMPUTED_VALUE"""),"Player")</f>
        <v>Player</v>
      </c>
      <c r="F387" s="8" t="str">
        <f ca="1">IFERROR(__xludf.DUMMYFUNCTION("""COMPUTED_VALUE"""),"Rodshtein, Maxim")</f>
        <v>Rodshtein, Maxim</v>
      </c>
      <c r="G387" s="16" t="str">
        <f ca="1">IFERROR(__xludf.DUMMYFUNCTION("""COMPUTED_VALUE"""),"ISR")</f>
        <v>ISR</v>
      </c>
      <c r="H387" s="8"/>
      <c r="I387" s="8">
        <f ca="1">IFERROR(__xludf.DUMMYFUNCTION("""COMPUTED_VALUE"""),100)</f>
        <v>100</v>
      </c>
      <c r="J387" s="8"/>
      <c r="K387" s="8"/>
      <c r="L387" s="8" t="str">
        <f ca="1">IFERROR(__xludf.DUMMYFUNCTION("""COMPUTED_VALUE"""),"Rishon Le Zion A")</f>
        <v>Rishon Le Zion A</v>
      </c>
      <c r="M387" s="16" t="str">
        <f ca="1">IFERROR(__xludf.DUMMYFUNCTION("""COMPUTED_VALUE"""),"ISR")</f>
        <v>ISR</v>
      </c>
      <c r="N387" s="16" t="str">
        <f ca="1">IFERROR(__xludf.DUMMYFUNCTION("""COMPUTED_VALUE"""),"Fontana")</f>
        <v>Fontana</v>
      </c>
      <c r="O387" s="8"/>
      <c r="P387" s="8">
        <f ca="1">IFERROR(__xludf.DUMMYFUNCTION("""COMPUTED_VALUE"""),104)</f>
        <v>104</v>
      </c>
      <c r="Q387" s="8">
        <f ca="1">IFERROR(__xludf.DUMMYFUNCTION("""COMPUTED_VALUE"""),8)</f>
        <v>8</v>
      </c>
      <c r="R387" s="8">
        <f ca="1">IFERROR(__xludf.DUMMYFUNCTION("""COMPUTED_VALUE"""),832)</f>
        <v>832</v>
      </c>
      <c r="S387" s="8">
        <f ca="1">IFERROR(__xludf.DUMMYFUNCTION("""COMPUTED_VALUE"""),12.8)</f>
        <v>12.8</v>
      </c>
      <c r="T387" s="8">
        <f ca="1">IFERROR(__xludf.DUMMYFUNCTION("""COMPUTED_VALUE"""),844.8)</f>
        <v>844.8</v>
      </c>
      <c r="U387" s="8"/>
      <c r="V387" s="8"/>
      <c r="W387" s="8"/>
      <c r="X387" s="8"/>
      <c r="Y387" s="8"/>
      <c r="Z387" s="37" t="str">
        <f ca="1">IFERROR(__xludf.DUMMYFUNCTION("""COMPUTED_VALUE"""),"JU 174")</f>
        <v>JU 174</v>
      </c>
      <c r="AA387" s="37" t="str">
        <f ca="1">IFERROR(__xludf.DUMMYFUNCTION("""COMPUTED_VALUE"""),"27/10/2024")</f>
        <v>27/10/2024</v>
      </c>
      <c r="AB387" s="64">
        <f ca="1">IFERROR(__xludf.DUMMYFUNCTION("""COMPUTED_VALUE"""),0.736111111111111)</f>
        <v>0.73611111111111105</v>
      </c>
    </row>
    <row r="388" spans="1:28" ht="14.55" customHeight="1" x14ac:dyDescent="0.3">
      <c r="A388" s="8">
        <v>96</v>
      </c>
      <c r="B388" s="8"/>
      <c r="C388" s="8"/>
      <c r="D388" s="8" t="str">
        <f ca="1">IFERROR(__xludf.DUMMYFUNCTION("""COMPUTED_VALUE"""),"31/07/2024")</f>
        <v>31/07/2024</v>
      </c>
      <c r="E388" s="16" t="str">
        <f ca="1">IFERROR(__xludf.DUMMYFUNCTION("""COMPUTED_VALUE"""),"Player")</f>
        <v>Player</v>
      </c>
      <c r="F388" s="8" t="str">
        <f ca="1">IFERROR(__xludf.DUMMYFUNCTION("""COMPUTED_VALUE"""),"Zanan, Evgeny")</f>
        <v>Zanan, Evgeny</v>
      </c>
      <c r="G388" s="16" t="str">
        <f ca="1">IFERROR(__xludf.DUMMYFUNCTION("""COMPUTED_VALUE"""),"ISR")</f>
        <v>ISR</v>
      </c>
      <c r="H388" s="8"/>
      <c r="I388" s="8">
        <f ca="1">IFERROR(__xludf.DUMMYFUNCTION("""COMPUTED_VALUE"""),100)</f>
        <v>100</v>
      </c>
      <c r="J388" s="8"/>
      <c r="K388" s="8"/>
      <c r="L388" s="8" t="str">
        <f ca="1">IFERROR(__xludf.DUMMYFUNCTION("""COMPUTED_VALUE"""),"Rishon Le Zion A")</f>
        <v>Rishon Le Zion A</v>
      </c>
      <c r="M388" s="16" t="str">
        <f ca="1">IFERROR(__xludf.DUMMYFUNCTION("""COMPUTED_VALUE"""),"ISR")</f>
        <v>ISR</v>
      </c>
      <c r="N388" s="16" t="str">
        <f ca="1">IFERROR(__xludf.DUMMYFUNCTION("""COMPUTED_VALUE"""),"Fontana")</f>
        <v>Fontana</v>
      </c>
      <c r="O388" s="8" t="str">
        <f ca="1">IFERROR(__xludf.DUMMYFUNCTION("""COMPUTED_VALUE"""),"Pelech Roee")</f>
        <v>Pelech Roee</v>
      </c>
      <c r="P388" s="8">
        <f ca="1">IFERROR(__xludf.DUMMYFUNCTION("""COMPUTED_VALUE"""),84)</f>
        <v>84</v>
      </c>
      <c r="Q388" s="8">
        <f ca="1">IFERROR(__xludf.DUMMYFUNCTION("""COMPUTED_VALUE"""),8)</f>
        <v>8</v>
      </c>
      <c r="R388" s="8">
        <f ca="1">IFERROR(__xludf.DUMMYFUNCTION("""COMPUTED_VALUE"""),672)</f>
        <v>672</v>
      </c>
      <c r="S388" s="8">
        <f ca="1">IFERROR(__xludf.DUMMYFUNCTION("""COMPUTED_VALUE"""),12.8)</f>
        <v>12.8</v>
      </c>
      <c r="T388" s="8">
        <f ca="1">IFERROR(__xludf.DUMMYFUNCTION("""COMPUTED_VALUE"""),684.8)</f>
        <v>684.8</v>
      </c>
      <c r="U388" s="8"/>
      <c r="V388" s="8"/>
      <c r="W388" s="8"/>
      <c r="X388" s="8"/>
      <c r="Y388" s="8"/>
      <c r="Z388" s="37" t="str">
        <f ca="1">IFERROR(__xludf.DUMMYFUNCTION("""COMPUTED_VALUE"""),"JU 174")</f>
        <v>JU 174</v>
      </c>
      <c r="AA388" s="37" t="str">
        <f ca="1">IFERROR(__xludf.DUMMYFUNCTION("""COMPUTED_VALUE"""),"27/10/2024")</f>
        <v>27/10/2024</v>
      </c>
      <c r="AB388" s="64">
        <f ca="1">IFERROR(__xludf.DUMMYFUNCTION("""COMPUTED_VALUE"""),0.736111111111111)</f>
        <v>0.73611111111111105</v>
      </c>
    </row>
    <row r="389" spans="1:28" ht="14.55" customHeight="1" x14ac:dyDescent="0.3">
      <c r="A389" s="8">
        <v>97</v>
      </c>
      <c r="B389" s="8"/>
      <c r="C389" s="8" t="str">
        <f ca="1">IFERROR(__xludf.DUMMYFUNCTION("""COMPUTED_VALUE"""),"NEW (umesto Baidetskyi)")</f>
        <v>NEW (umesto Baidetskyi)</v>
      </c>
      <c r="D389" s="14">
        <f ca="1">IFERROR(__xludf.DUMMYFUNCTION("""COMPUTED_VALUE"""),45606)</f>
        <v>45606</v>
      </c>
      <c r="E389" s="16" t="str">
        <f ca="1">IFERROR(__xludf.DUMMYFUNCTION("""COMPUTED_VALUE"""),"Player")</f>
        <v>Player</v>
      </c>
      <c r="F389" s="8" t="str">
        <f ca="1">IFERROR(__xludf.DUMMYFUNCTION("""COMPUTED_VALUE"""),"Stocek, Jiri")</f>
        <v>Stocek, Jiri</v>
      </c>
      <c r="G389" s="16" t="str">
        <f ca="1">IFERROR(__xludf.DUMMYFUNCTION("""COMPUTED_VALUE"""),"CZE")</f>
        <v>CZE</v>
      </c>
      <c r="H389" s="8"/>
      <c r="I389" s="8">
        <f ca="1">IFERROR(__xludf.DUMMYFUNCTION("""COMPUTED_VALUE"""),100)</f>
        <v>100</v>
      </c>
      <c r="J389" s="8"/>
      <c r="K389" s="8"/>
      <c r="L389" s="8" t="str">
        <f ca="1">IFERROR(__xludf.DUMMYFUNCTION("""COMPUTED_VALUE"""),"SK JAVES Modra")</f>
        <v>SK JAVES Modra</v>
      </c>
      <c r="M389" s="16" t="str">
        <f ca="1">IFERROR(__xludf.DUMMYFUNCTION("""COMPUTED_VALUE"""),"SVK")</f>
        <v>SVK</v>
      </c>
      <c r="N389" s="16" t="str">
        <f ca="1">IFERROR(__xludf.DUMMYFUNCTION("""COMPUTED_VALUE"""),"Zepter")</f>
        <v>Zepter</v>
      </c>
      <c r="O389" s="8"/>
      <c r="P389" s="8"/>
      <c r="Q389" s="8">
        <f ca="1">IFERROR(__xludf.DUMMYFUNCTION("""COMPUTED_VALUE"""),6)</f>
        <v>6</v>
      </c>
      <c r="R389" s="8">
        <f ca="1">IFERROR(__xludf.DUMMYFUNCTION("""COMPUTED_VALUE"""),0)</f>
        <v>0</v>
      </c>
      <c r="S389" s="8">
        <f ca="1">IFERROR(__xludf.DUMMYFUNCTION("""COMPUTED_VALUE"""),9.6)</f>
        <v>9.6</v>
      </c>
      <c r="T389" s="8">
        <f ca="1">IFERROR(__xludf.DUMMYFUNCTION("""COMPUTED_VALUE"""),9.6)</f>
        <v>9.6</v>
      </c>
      <c r="U389" s="8"/>
      <c r="V389" s="8"/>
      <c r="W389" s="8"/>
      <c r="X389" s="8"/>
      <c r="Y389" s="8"/>
      <c r="Z389" s="37" t="str">
        <f ca="1">IFERROR(__xludf.DUMMYFUNCTION("""COMPUTED_VALUE"""),"JU 0174")</f>
        <v>JU 0174</v>
      </c>
      <c r="AA389" s="37" t="str">
        <f ca="1">IFERROR(__xludf.DUMMYFUNCTION("""COMPUTED_VALUE"""),"27/10/2024")</f>
        <v>27/10/2024</v>
      </c>
      <c r="AB389" s="64">
        <f ca="1">IFERROR(__xludf.DUMMYFUNCTION("""COMPUTED_VALUE"""),0.736111111111111)</f>
        <v>0.73611111111111105</v>
      </c>
    </row>
    <row r="390" spans="1:28" ht="14.55" customHeight="1" x14ac:dyDescent="0.3">
      <c r="A390" s="8">
        <v>98</v>
      </c>
      <c r="B390" s="8"/>
      <c r="C390" s="8"/>
      <c r="D390" s="8" t="str">
        <f ca="1">IFERROR(__xludf.DUMMYFUNCTION("""COMPUTED_VALUE"""),"14/08/2024")</f>
        <v>14/08/2024</v>
      </c>
      <c r="E390" s="16" t="str">
        <f ca="1">IFERROR(__xludf.DUMMYFUNCTION("""COMPUTED_VALUE"""),"Player")</f>
        <v>Player</v>
      </c>
      <c r="F390" s="8" t="str">
        <f ca="1">IFERROR(__xludf.DUMMYFUNCTION("""COMPUTED_VALUE"""),"Ter-Sahakyan, Samvel")</f>
        <v>Ter-Sahakyan, Samvel</v>
      </c>
      <c r="G390" s="16" t="str">
        <f ca="1">IFERROR(__xludf.DUMMYFUNCTION("""COMPUTED_VALUE"""),"ARM")</f>
        <v>ARM</v>
      </c>
      <c r="H390" s="8"/>
      <c r="I390" s="8">
        <f ca="1">IFERROR(__xludf.DUMMYFUNCTION("""COMPUTED_VALUE"""),100)</f>
        <v>100</v>
      </c>
      <c r="J390" s="8"/>
      <c r="K390" s="8"/>
      <c r="L390" s="8" t="str">
        <f ca="1">IFERROR(__xludf.DUMMYFUNCTION("""COMPUTED_VALUE"""),"Tajfun SK")</f>
        <v>Tajfun SK</v>
      </c>
      <c r="M390" s="16" t="str">
        <f ca="1">IFERROR(__xludf.DUMMYFUNCTION("""COMPUTED_VALUE"""),"SLO")</f>
        <v>SLO</v>
      </c>
      <c r="N390" s="16" t="str">
        <f ca="1">IFERROR(__xludf.DUMMYFUNCTION("""COMPUTED_VALUE"""),"Tonanti")</f>
        <v>Tonanti</v>
      </c>
      <c r="O390" s="8"/>
      <c r="P390" s="8">
        <f ca="1">IFERROR(__xludf.DUMMYFUNCTION("""COMPUTED_VALUE"""),108)</f>
        <v>108</v>
      </c>
      <c r="Q390" s="8">
        <f ca="1">IFERROR(__xludf.DUMMYFUNCTION("""COMPUTED_VALUE"""),8)</f>
        <v>8</v>
      </c>
      <c r="R390" s="8">
        <f ca="1">IFERROR(__xludf.DUMMYFUNCTION("""COMPUTED_VALUE"""),864)</f>
        <v>864</v>
      </c>
      <c r="S390" s="8">
        <f ca="1">IFERROR(__xludf.DUMMYFUNCTION("""COMPUTED_VALUE"""),12.8)</f>
        <v>12.8</v>
      </c>
      <c r="T390" s="8">
        <f ca="1">IFERROR(__xludf.DUMMYFUNCTION("""COMPUTED_VALUE"""),876.8)</f>
        <v>876.8</v>
      </c>
      <c r="U390" s="8"/>
      <c r="V390" s="8"/>
      <c r="W390" s="8"/>
      <c r="X390" s="8"/>
      <c r="Y390" s="8"/>
      <c r="Z390" s="37" t="str">
        <f ca="1">IFERROR(__xludf.DUMMYFUNCTION("""COMPUTED_VALUE"""),"JU 174")</f>
        <v>JU 174</v>
      </c>
      <c r="AA390" s="37" t="str">
        <f ca="1">IFERROR(__xludf.DUMMYFUNCTION("""COMPUTED_VALUE"""),"27/10/2024")</f>
        <v>27/10/2024</v>
      </c>
      <c r="AB390" s="64">
        <f ca="1">IFERROR(__xludf.DUMMYFUNCTION("""COMPUTED_VALUE"""),0.736111111111111)</f>
        <v>0.73611111111111105</v>
      </c>
    </row>
    <row r="391" spans="1:28" ht="14.55" customHeight="1" x14ac:dyDescent="0.3">
      <c r="A391" s="8">
        <v>99</v>
      </c>
      <c r="B391" s="8"/>
      <c r="C391" s="8"/>
      <c r="D391" s="8"/>
      <c r="E391" s="29" t="s">
        <v>12</v>
      </c>
      <c r="F391" s="42" t="s">
        <v>10</v>
      </c>
      <c r="G391" s="16"/>
      <c r="H391" s="8"/>
      <c r="I391" s="8"/>
      <c r="J391" s="8"/>
      <c r="K391" s="8"/>
      <c r="L391" s="8"/>
      <c r="M391" s="16"/>
      <c r="N391" s="16"/>
      <c r="O391" s="8"/>
      <c r="P391" s="8"/>
      <c r="Q391" s="8"/>
      <c r="R391" s="8">
        <f ca="1">IFERROR(__xludf.DUMMYFUNCTION("""COMPUTED_VALUE"""),0)</f>
        <v>0</v>
      </c>
      <c r="S391" s="8">
        <f ca="1">IFERROR(__xludf.DUMMYFUNCTION("""COMPUTED_VALUE"""),0)</f>
        <v>0</v>
      </c>
      <c r="T391" s="8">
        <f ca="1">IFERROR(__xludf.DUMMYFUNCTION("""COMPUTED_VALUE"""),0)</f>
        <v>0</v>
      </c>
      <c r="U391" s="8"/>
      <c r="V391" s="8"/>
      <c r="W391" s="8"/>
      <c r="X391" s="8"/>
      <c r="Y391" s="8"/>
      <c r="Z391" s="37"/>
      <c r="AA391" s="37" t="str">
        <f ca="1">IFERROR(__xludf.DUMMYFUNCTION("""COMPUTED_VALUE"""),"27/10/2024")</f>
        <v>27/10/2024</v>
      </c>
      <c r="AB391" s="64">
        <v>0.73611111111111116</v>
      </c>
    </row>
    <row r="392" spans="1:28" ht="14.55" customHeight="1" x14ac:dyDescent="0.3">
      <c r="A392" s="8">
        <v>100</v>
      </c>
      <c r="B392" s="8"/>
      <c r="C392" s="8"/>
      <c r="D392" s="8" t="str">
        <f ca="1">IFERROR(__xludf.DUMMYFUNCTION("""COMPUTED_VALUE"""),"13/08/2024")</f>
        <v>13/08/2024</v>
      </c>
      <c r="E392" s="16" t="str">
        <f ca="1">IFERROR(__xludf.DUMMYFUNCTION("""COMPUTED_VALUE"""),"Player")</f>
        <v>Player</v>
      </c>
      <c r="F392" s="8" t="str">
        <f ca="1">IFERROR(__xludf.DUMMYFUNCTION("""COMPUTED_VALUE"""),"Pavlidis, Antonios")</f>
        <v>Pavlidis, Antonios</v>
      </c>
      <c r="G392" s="16" t="str">
        <f ca="1">IFERROR(__xludf.DUMMYFUNCTION("""COMPUTED_VALUE"""),"GRE")</f>
        <v>GRE</v>
      </c>
      <c r="H392" s="8"/>
      <c r="I392" s="8">
        <f ca="1">IFERROR(__xludf.DUMMYFUNCTION("""COMPUTED_VALUE"""),100)</f>
        <v>100</v>
      </c>
      <c r="J392" s="8"/>
      <c r="K392" s="8"/>
      <c r="L392" s="8" t="str">
        <f ca="1">IFERROR(__xludf.DUMMYFUNCTION("""COMPUTED_VALUE"""),"Kavala Chess Club")</f>
        <v>Kavala Chess Club</v>
      </c>
      <c r="M392" s="16" t="str">
        <f ca="1">IFERROR(__xludf.DUMMYFUNCTION("""COMPUTED_VALUE"""),"GRE")</f>
        <v>GRE</v>
      </c>
      <c r="N392" s="16" t="str">
        <f ca="1">IFERROR(__xludf.DUMMYFUNCTION("""COMPUTED_VALUE"""),"Zepter")</f>
        <v>Zepter</v>
      </c>
      <c r="O392" s="8" t="str">
        <f ca="1">IFERROR(__xludf.DUMMYFUNCTION("""COMPUTED_VALUE"""),"GALOPOULOS")</f>
        <v>GALOPOULOS</v>
      </c>
      <c r="P392" s="8">
        <f ca="1">IFERROR(__xludf.DUMMYFUNCTION("""COMPUTED_VALUE"""),82)</f>
        <v>82</v>
      </c>
      <c r="Q392" s="8">
        <f ca="1">IFERROR(__xludf.DUMMYFUNCTION("""COMPUTED_VALUE"""),8)</f>
        <v>8</v>
      </c>
      <c r="R392" s="8">
        <f ca="1">IFERROR(__xludf.DUMMYFUNCTION("""COMPUTED_VALUE"""),656)</f>
        <v>656</v>
      </c>
      <c r="S392" s="8">
        <f ca="1">IFERROR(__xludf.DUMMYFUNCTION("""COMPUTED_VALUE"""),12.8)</f>
        <v>12.8</v>
      </c>
      <c r="T392" s="8">
        <f ca="1">IFERROR(__xludf.DUMMYFUNCTION("""COMPUTED_VALUE"""),668.8)</f>
        <v>668.8</v>
      </c>
      <c r="U392" s="8"/>
      <c r="V392" s="8"/>
      <c r="W392" s="8"/>
      <c r="X392" s="8"/>
      <c r="Y392" s="8"/>
      <c r="Z392" s="37" t="str">
        <f ca="1">IFERROR(__xludf.DUMMYFUNCTION("""COMPUTED_VALUE"""),"JU 262")</f>
        <v>JU 262</v>
      </c>
      <c r="AA392" s="37" t="str">
        <f ca="1">IFERROR(__xludf.DUMMYFUNCTION("""COMPUTED_VALUE"""),"27/10/2024")</f>
        <v>27/10/2024</v>
      </c>
      <c r="AB392" s="64">
        <f ca="1">IFERROR(__xludf.DUMMYFUNCTION("""COMPUTED_VALUE"""),0.739583333333333)</f>
        <v>0.73958333333333304</v>
      </c>
    </row>
    <row r="393" spans="1:28" ht="14.55" customHeight="1" x14ac:dyDescent="0.3">
      <c r="A393" s="8">
        <v>101</v>
      </c>
      <c r="B393" s="8"/>
      <c r="C393" s="8"/>
      <c r="D393" s="8" t="str">
        <f ca="1">IFERROR(__xludf.DUMMYFUNCTION("""COMPUTED_VALUE"""),"19/07/2024")</f>
        <v>19/07/2024</v>
      </c>
      <c r="E393" s="16" t="str">
        <f ca="1">IFERROR(__xludf.DUMMYFUNCTION("""COMPUTED_VALUE"""),"Player")</f>
        <v>Player</v>
      </c>
      <c r="F393" s="8" t="str">
        <f ca="1">IFERROR(__xludf.DUMMYFUNCTION("""COMPUTED_VALUE"""),"Ten Hertog, Hugo")</f>
        <v>Ten Hertog, Hugo</v>
      </c>
      <c r="G393" s="16" t="str">
        <f ca="1">IFERROR(__xludf.DUMMYFUNCTION("""COMPUTED_VALUE"""),"NED")</f>
        <v>NED</v>
      </c>
      <c r="H393" s="8"/>
      <c r="I393" s="8">
        <f ca="1">IFERROR(__xludf.DUMMYFUNCTION("""COMPUTED_VALUE"""),100)</f>
        <v>100</v>
      </c>
      <c r="J393" s="8"/>
      <c r="K393" s="8"/>
      <c r="L393" s="8" t="str">
        <f ca="1">IFERROR(__xludf.DUMMYFUNCTION("""COMPUTED_VALUE"""),"Paul Keres 1")</f>
        <v>Paul Keres 1</v>
      </c>
      <c r="M393" s="16" t="str">
        <f ca="1">IFERROR(__xludf.DUMMYFUNCTION("""COMPUTED_VALUE"""),"NED")</f>
        <v>NED</v>
      </c>
      <c r="N393" s="16" t="str">
        <f ca="1">IFERROR(__xludf.DUMMYFUNCTION("""COMPUTED_VALUE"""),"Fontana")</f>
        <v>Fontana</v>
      </c>
      <c r="O393" s="8"/>
      <c r="P393" s="8">
        <f ca="1">IFERROR(__xludf.DUMMYFUNCTION("""COMPUTED_VALUE"""),104)</f>
        <v>104</v>
      </c>
      <c r="Q393" s="8">
        <f ca="1">IFERROR(__xludf.DUMMYFUNCTION("""COMPUTED_VALUE"""),10)</f>
        <v>10</v>
      </c>
      <c r="R393" s="8">
        <f ca="1">IFERROR(__xludf.DUMMYFUNCTION("""COMPUTED_VALUE"""),1040)</f>
        <v>1040</v>
      </c>
      <c r="S393" s="8">
        <f ca="1">IFERROR(__xludf.DUMMYFUNCTION("""COMPUTED_VALUE"""),16)</f>
        <v>16</v>
      </c>
      <c r="T393" s="8">
        <f ca="1">IFERROR(__xludf.DUMMYFUNCTION("""COMPUTED_VALUE"""),1056)</f>
        <v>1056</v>
      </c>
      <c r="U393" s="8"/>
      <c r="V393" s="8"/>
      <c r="W393" s="8"/>
      <c r="X393" s="8"/>
      <c r="Y393" s="8"/>
      <c r="Z393" s="37" t="str">
        <f ca="1">IFERROR(__xludf.DUMMYFUNCTION("""COMPUTED_VALUE"""),"JU 262")</f>
        <v>JU 262</v>
      </c>
      <c r="AA393" s="37" t="str">
        <f ca="1">IFERROR(__xludf.DUMMYFUNCTION("""COMPUTED_VALUE"""),"28/10/2024")</f>
        <v>28/10/2024</v>
      </c>
      <c r="AB393" s="64">
        <f ca="1">IFERROR(__xludf.DUMMYFUNCTION("""COMPUTED_VALUE"""),0.739583333333333)</f>
        <v>0.73958333333333304</v>
      </c>
    </row>
    <row r="394" spans="1:28" ht="14.55" customHeight="1" x14ac:dyDescent="0.3">
      <c r="A394" s="8">
        <v>102</v>
      </c>
      <c r="B394" s="8"/>
      <c r="C394" s="8"/>
      <c r="D394" s="8" t="str">
        <f ca="1">IFERROR(__xludf.DUMMYFUNCTION("""COMPUTED_VALUE"""),"19/07/2024")</f>
        <v>19/07/2024</v>
      </c>
      <c r="E394" s="16" t="str">
        <f ca="1">IFERROR(__xludf.DUMMYFUNCTION("""COMPUTED_VALUE"""),"Player")</f>
        <v>Player</v>
      </c>
      <c r="F394" s="8" t="str">
        <f ca="1">IFERROR(__xludf.DUMMYFUNCTION("""COMPUTED_VALUE"""),"Ondersteijn, Niels")</f>
        <v>Ondersteijn, Niels</v>
      </c>
      <c r="G394" s="16" t="str">
        <f ca="1">IFERROR(__xludf.DUMMYFUNCTION("""COMPUTED_VALUE"""),"NED")</f>
        <v>NED</v>
      </c>
      <c r="H394" s="8"/>
      <c r="I394" s="8">
        <f ca="1">IFERROR(__xludf.DUMMYFUNCTION("""COMPUTED_VALUE"""),100)</f>
        <v>100</v>
      </c>
      <c r="J394" s="8"/>
      <c r="K394" s="8"/>
      <c r="L394" s="8" t="str">
        <f ca="1">IFERROR(__xludf.DUMMYFUNCTION("""COMPUTED_VALUE"""),"Paul Keres 1")</f>
        <v>Paul Keres 1</v>
      </c>
      <c r="M394" s="16" t="str">
        <f ca="1">IFERROR(__xludf.DUMMYFUNCTION("""COMPUTED_VALUE"""),"NED")</f>
        <v>NED</v>
      </c>
      <c r="N394" s="16" t="str">
        <f ca="1">IFERROR(__xludf.DUMMYFUNCTION("""COMPUTED_VALUE"""),"Fontana")</f>
        <v>Fontana</v>
      </c>
      <c r="O394" s="8"/>
      <c r="P394" s="8">
        <f ca="1">IFERROR(__xludf.DUMMYFUNCTION("""COMPUTED_VALUE"""),104)</f>
        <v>104</v>
      </c>
      <c r="Q394" s="8">
        <f ca="1">IFERROR(__xludf.DUMMYFUNCTION("""COMPUTED_VALUE"""),10)</f>
        <v>10</v>
      </c>
      <c r="R394" s="8">
        <f ca="1">IFERROR(__xludf.DUMMYFUNCTION("""COMPUTED_VALUE"""),1040)</f>
        <v>1040</v>
      </c>
      <c r="S394" s="8">
        <f ca="1">IFERROR(__xludf.DUMMYFUNCTION("""COMPUTED_VALUE"""),16)</f>
        <v>16</v>
      </c>
      <c r="T394" s="8">
        <f ca="1">IFERROR(__xludf.DUMMYFUNCTION("""COMPUTED_VALUE"""),1056)</f>
        <v>1056</v>
      </c>
      <c r="U394" s="8"/>
      <c r="V394" s="8"/>
      <c r="W394" s="8"/>
      <c r="X394" s="8"/>
      <c r="Y394" s="8"/>
      <c r="Z394" s="37" t="str">
        <f ca="1">IFERROR(__xludf.DUMMYFUNCTION("""COMPUTED_VALUE"""),"JU 262")</f>
        <v>JU 262</v>
      </c>
      <c r="AA394" s="37" t="str">
        <f ca="1">IFERROR(__xludf.DUMMYFUNCTION("""COMPUTED_VALUE"""),"28/10/2024")</f>
        <v>28/10/2024</v>
      </c>
      <c r="AB394" s="64">
        <f ca="1">IFERROR(__xludf.DUMMYFUNCTION("""COMPUTED_VALUE"""),0.739583333333333)</f>
        <v>0.73958333333333304</v>
      </c>
    </row>
    <row r="395" spans="1:28" ht="14.55" customHeight="1" x14ac:dyDescent="0.3">
      <c r="A395" s="8">
        <v>103</v>
      </c>
      <c r="B395" s="8"/>
      <c r="C395" s="8"/>
      <c r="D395" s="8" t="str">
        <f ca="1">IFERROR(__xludf.DUMMYFUNCTION("""COMPUTED_VALUE"""),"19/07/2024")</f>
        <v>19/07/2024</v>
      </c>
      <c r="E395" s="16" t="str">
        <f ca="1">IFERROR(__xludf.DUMMYFUNCTION("""COMPUTED_VALUE"""),"Player")</f>
        <v>Player</v>
      </c>
      <c r="F395" s="8" t="str">
        <f ca="1">IFERROR(__xludf.DUMMYFUNCTION("""COMPUTED_VALUE"""),"Lammens, Tim")</f>
        <v>Lammens, Tim</v>
      </c>
      <c r="G395" s="16" t="str">
        <f ca="1">IFERROR(__xludf.DUMMYFUNCTION("""COMPUTED_VALUE"""),"NED")</f>
        <v>NED</v>
      </c>
      <c r="H395" s="8"/>
      <c r="I395" s="8">
        <f ca="1">IFERROR(__xludf.DUMMYFUNCTION("""COMPUTED_VALUE"""),100)</f>
        <v>100</v>
      </c>
      <c r="J395" s="8"/>
      <c r="K395" s="8"/>
      <c r="L395" s="8" t="str">
        <f ca="1">IFERROR(__xludf.DUMMYFUNCTION("""COMPUTED_VALUE"""),"Paul Keres 1")</f>
        <v>Paul Keres 1</v>
      </c>
      <c r="M395" s="16" t="str">
        <f ca="1">IFERROR(__xludf.DUMMYFUNCTION("""COMPUTED_VALUE"""),"NED")</f>
        <v>NED</v>
      </c>
      <c r="N395" s="16" t="str">
        <f ca="1">IFERROR(__xludf.DUMMYFUNCTION("""COMPUTED_VALUE"""),"Fontana")</f>
        <v>Fontana</v>
      </c>
      <c r="O395" s="8"/>
      <c r="P395" s="8">
        <f ca="1">IFERROR(__xludf.DUMMYFUNCTION("""COMPUTED_VALUE"""),104)</f>
        <v>104</v>
      </c>
      <c r="Q395" s="8">
        <f ca="1">IFERROR(__xludf.DUMMYFUNCTION("""COMPUTED_VALUE"""),10)</f>
        <v>10</v>
      </c>
      <c r="R395" s="8">
        <f ca="1">IFERROR(__xludf.DUMMYFUNCTION("""COMPUTED_VALUE"""),1040)</f>
        <v>1040</v>
      </c>
      <c r="S395" s="8">
        <f ca="1">IFERROR(__xludf.DUMMYFUNCTION("""COMPUTED_VALUE"""),16)</f>
        <v>16</v>
      </c>
      <c r="T395" s="8">
        <f ca="1">IFERROR(__xludf.DUMMYFUNCTION("""COMPUTED_VALUE"""),1056)</f>
        <v>1056</v>
      </c>
      <c r="U395" s="8"/>
      <c r="V395" s="8"/>
      <c r="W395" s="8"/>
      <c r="X395" s="8"/>
      <c r="Y395" s="8"/>
      <c r="Z395" s="37" t="str">
        <f ca="1">IFERROR(__xludf.DUMMYFUNCTION("""COMPUTED_VALUE"""),"JU 262")</f>
        <v>JU 262</v>
      </c>
      <c r="AA395" s="37" t="str">
        <f ca="1">IFERROR(__xludf.DUMMYFUNCTION("""COMPUTED_VALUE"""),"28/10/2024")</f>
        <v>28/10/2024</v>
      </c>
      <c r="AB395" s="64">
        <f ca="1">IFERROR(__xludf.DUMMYFUNCTION("""COMPUTED_VALUE"""),0.739583333333333)</f>
        <v>0.73958333333333304</v>
      </c>
    </row>
    <row r="396" spans="1:28" ht="14.55" customHeight="1" x14ac:dyDescent="0.3">
      <c r="A396" s="8">
        <v>104</v>
      </c>
      <c r="B396" s="8"/>
      <c r="C396" s="8"/>
      <c r="D396" s="8" t="str">
        <f ca="1">IFERROR(__xludf.DUMMYFUNCTION("""COMPUTED_VALUE"""),"19/07/2024")</f>
        <v>19/07/2024</v>
      </c>
      <c r="E396" s="16" t="str">
        <f ca="1">IFERROR(__xludf.DUMMYFUNCTION("""COMPUTED_VALUE"""),"Player")</f>
        <v>Player</v>
      </c>
      <c r="F396" s="8" t="str">
        <f ca="1">IFERROR(__xludf.DUMMYFUNCTION("""COMPUTED_VALUE"""),"Floor, Dirk")</f>
        <v>Floor, Dirk</v>
      </c>
      <c r="G396" s="16" t="str">
        <f ca="1">IFERROR(__xludf.DUMMYFUNCTION("""COMPUTED_VALUE"""),"NED")</f>
        <v>NED</v>
      </c>
      <c r="H396" s="8"/>
      <c r="I396" s="8">
        <f ca="1">IFERROR(__xludf.DUMMYFUNCTION("""COMPUTED_VALUE"""),100)</f>
        <v>100</v>
      </c>
      <c r="J396" s="8"/>
      <c r="K396" s="8"/>
      <c r="L396" s="8" t="str">
        <f ca="1">IFERROR(__xludf.DUMMYFUNCTION("""COMPUTED_VALUE"""),"Paul Keres 1")</f>
        <v>Paul Keres 1</v>
      </c>
      <c r="M396" s="16" t="str">
        <f ca="1">IFERROR(__xludf.DUMMYFUNCTION("""COMPUTED_VALUE"""),"NED")</f>
        <v>NED</v>
      </c>
      <c r="N396" s="16" t="str">
        <f ca="1">IFERROR(__xludf.DUMMYFUNCTION("""COMPUTED_VALUE"""),"Fontana")</f>
        <v>Fontana</v>
      </c>
      <c r="O396" s="8"/>
      <c r="P396" s="8">
        <f ca="1">IFERROR(__xludf.DUMMYFUNCTION("""COMPUTED_VALUE"""),104)</f>
        <v>104</v>
      </c>
      <c r="Q396" s="8">
        <f ca="1">IFERROR(__xludf.DUMMYFUNCTION("""COMPUTED_VALUE"""),10)</f>
        <v>10</v>
      </c>
      <c r="R396" s="8">
        <f ca="1">IFERROR(__xludf.DUMMYFUNCTION("""COMPUTED_VALUE"""),1040)</f>
        <v>1040</v>
      </c>
      <c r="S396" s="8">
        <f ca="1">IFERROR(__xludf.DUMMYFUNCTION("""COMPUTED_VALUE"""),16)</f>
        <v>16</v>
      </c>
      <c r="T396" s="8">
        <f ca="1">IFERROR(__xludf.DUMMYFUNCTION("""COMPUTED_VALUE"""),1056)</f>
        <v>1056</v>
      </c>
      <c r="U396" s="8"/>
      <c r="V396" s="8"/>
      <c r="W396" s="8"/>
      <c r="X396" s="8"/>
      <c r="Y396" s="8"/>
      <c r="Z396" s="37" t="str">
        <f ca="1">IFERROR(__xludf.DUMMYFUNCTION("""COMPUTED_VALUE"""),"JU 262")</f>
        <v>JU 262</v>
      </c>
      <c r="AA396" s="37" t="str">
        <f ca="1">IFERROR(__xludf.DUMMYFUNCTION("""COMPUTED_VALUE"""),"28/10/2024")</f>
        <v>28/10/2024</v>
      </c>
      <c r="AB396" s="64">
        <f ca="1">IFERROR(__xludf.DUMMYFUNCTION("""COMPUTED_VALUE"""),0.739583333333333)</f>
        <v>0.73958333333333304</v>
      </c>
    </row>
    <row r="397" spans="1:28" ht="14.55" customHeight="1" x14ac:dyDescent="0.3">
      <c r="A397" s="8">
        <v>105</v>
      </c>
      <c r="B397" s="8"/>
      <c r="C397" s="8"/>
      <c r="D397" s="8" t="str">
        <f ca="1">IFERROR(__xludf.DUMMYFUNCTION("""COMPUTED_VALUE"""),"19/07/2024")</f>
        <v>19/07/2024</v>
      </c>
      <c r="E397" s="16" t="str">
        <f ca="1">IFERROR(__xludf.DUMMYFUNCTION("""COMPUTED_VALUE"""),"Player")</f>
        <v>Player</v>
      </c>
      <c r="F397" s="8" t="str">
        <f ca="1">IFERROR(__xludf.DUMMYFUNCTION("""COMPUTED_VALUE"""),"De Boer, Bas")</f>
        <v>De Boer, Bas</v>
      </c>
      <c r="G397" s="16" t="str">
        <f ca="1">IFERROR(__xludf.DUMMYFUNCTION("""COMPUTED_VALUE"""),"NED")</f>
        <v>NED</v>
      </c>
      <c r="H397" s="8"/>
      <c r="I397" s="8">
        <f ca="1">IFERROR(__xludf.DUMMYFUNCTION("""COMPUTED_VALUE"""),100)</f>
        <v>100</v>
      </c>
      <c r="J397" s="8"/>
      <c r="K397" s="8"/>
      <c r="L397" s="8" t="str">
        <f ca="1">IFERROR(__xludf.DUMMYFUNCTION("""COMPUTED_VALUE"""),"Paul Keres 1")</f>
        <v>Paul Keres 1</v>
      </c>
      <c r="M397" s="16" t="str">
        <f ca="1">IFERROR(__xludf.DUMMYFUNCTION("""COMPUTED_VALUE"""),"NED")</f>
        <v>NED</v>
      </c>
      <c r="N397" s="16" t="str">
        <f ca="1">IFERROR(__xludf.DUMMYFUNCTION("""COMPUTED_VALUE"""),"Fontana")</f>
        <v>Fontana</v>
      </c>
      <c r="O397" s="8"/>
      <c r="P397" s="8">
        <f ca="1">IFERROR(__xludf.DUMMYFUNCTION("""COMPUTED_VALUE"""),104)</f>
        <v>104</v>
      </c>
      <c r="Q397" s="8">
        <f ca="1">IFERROR(__xludf.DUMMYFUNCTION("""COMPUTED_VALUE"""),10)</f>
        <v>10</v>
      </c>
      <c r="R397" s="8">
        <f ca="1">IFERROR(__xludf.DUMMYFUNCTION("""COMPUTED_VALUE"""),1040)</f>
        <v>1040</v>
      </c>
      <c r="S397" s="8">
        <f ca="1">IFERROR(__xludf.DUMMYFUNCTION("""COMPUTED_VALUE"""),16)</f>
        <v>16</v>
      </c>
      <c r="T397" s="8">
        <f ca="1">IFERROR(__xludf.DUMMYFUNCTION("""COMPUTED_VALUE"""),1056)</f>
        <v>1056</v>
      </c>
      <c r="U397" s="8"/>
      <c r="V397" s="8"/>
      <c r="W397" s="8"/>
      <c r="X397" s="8"/>
      <c r="Y397" s="8"/>
      <c r="Z397" s="37" t="str">
        <f ca="1">IFERROR(__xludf.DUMMYFUNCTION("""COMPUTED_VALUE"""),"JU 262")</f>
        <v>JU 262</v>
      </c>
      <c r="AA397" s="37" t="str">
        <f ca="1">IFERROR(__xludf.DUMMYFUNCTION("""COMPUTED_VALUE"""),"28/10/2024")</f>
        <v>28/10/2024</v>
      </c>
      <c r="AB397" s="64">
        <f ca="1">IFERROR(__xludf.DUMMYFUNCTION("""COMPUTED_VALUE"""),0.739583333333333)</f>
        <v>0.73958333333333304</v>
      </c>
    </row>
    <row r="398" spans="1:28" ht="14.55" customHeight="1" x14ac:dyDescent="0.3">
      <c r="A398" s="8">
        <v>106</v>
      </c>
      <c r="B398" s="8"/>
      <c r="C398" s="8"/>
      <c r="D398" s="8" t="str">
        <f ca="1">IFERROR(__xludf.DUMMYFUNCTION("""COMPUTED_VALUE"""),"24/07/2024")</f>
        <v>24/07/2024</v>
      </c>
      <c r="E398" s="16" t="str">
        <f ca="1">IFERROR(__xludf.DUMMYFUNCTION("""COMPUTED_VALUE"""),"Player")</f>
        <v>Player</v>
      </c>
      <c r="F398" s="8" t="str">
        <f ca="1">IFERROR(__xludf.DUMMYFUNCTION("""COMPUTED_VALUE"""),"Otte, Marijn")</f>
        <v>Otte, Marijn</v>
      </c>
      <c r="G398" s="16" t="str">
        <f ca="1">IFERROR(__xludf.DUMMYFUNCTION("""COMPUTED_VALUE"""),"NED")</f>
        <v>NED</v>
      </c>
      <c r="H398" s="8"/>
      <c r="I398" s="8">
        <f ca="1">IFERROR(__xludf.DUMMYFUNCTION("""COMPUTED_VALUE"""),100)</f>
        <v>100</v>
      </c>
      <c r="J398" s="8"/>
      <c r="K398" s="8"/>
      <c r="L398" s="8" t="str">
        <f ca="1">IFERROR(__xludf.DUMMYFUNCTION("""COMPUTED_VALUE"""),"Paul Keres 2")</f>
        <v>Paul Keres 2</v>
      </c>
      <c r="M398" s="16" t="str">
        <f ca="1">IFERROR(__xludf.DUMMYFUNCTION("""COMPUTED_VALUE"""),"NED")</f>
        <v>NED</v>
      </c>
      <c r="N398" s="16" t="str">
        <f ca="1">IFERROR(__xludf.DUMMYFUNCTION("""COMPUTED_VALUE"""),"Fontana")</f>
        <v>Fontana</v>
      </c>
      <c r="O398" s="8"/>
      <c r="P398" s="8">
        <f ca="1">IFERROR(__xludf.DUMMYFUNCTION("""COMPUTED_VALUE"""),104)</f>
        <v>104</v>
      </c>
      <c r="Q398" s="8">
        <f ca="1">IFERROR(__xludf.DUMMYFUNCTION("""COMPUTED_VALUE"""),8)</f>
        <v>8</v>
      </c>
      <c r="R398" s="8">
        <f ca="1">IFERROR(__xludf.DUMMYFUNCTION("""COMPUTED_VALUE"""),832)</f>
        <v>832</v>
      </c>
      <c r="S398" s="8">
        <f ca="1">IFERROR(__xludf.DUMMYFUNCTION("""COMPUTED_VALUE"""),12.8)</f>
        <v>12.8</v>
      </c>
      <c r="T398" s="8">
        <f ca="1">IFERROR(__xludf.DUMMYFUNCTION("""COMPUTED_VALUE"""),844.8)</f>
        <v>844.8</v>
      </c>
      <c r="U398" s="8"/>
      <c r="V398" s="8"/>
      <c r="W398" s="8"/>
      <c r="X398" s="8"/>
      <c r="Y398" s="8"/>
      <c r="Z398" s="37" t="str">
        <f ca="1">IFERROR(__xludf.DUMMYFUNCTION("""COMPUTED_VALUE"""),"JU262")</f>
        <v>JU262</v>
      </c>
      <c r="AA398" s="37" t="str">
        <f ca="1">IFERROR(__xludf.DUMMYFUNCTION("""COMPUTED_VALUE"""),"27/10/2024")</f>
        <v>27/10/2024</v>
      </c>
      <c r="AB398" s="64">
        <f ca="1">IFERROR(__xludf.DUMMYFUNCTION("""COMPUTED_VALUE"""),0.739583333333333)</f>
        <v>0.73958333333333304</v>
      </c>
    </row>
    <row r="399" spans="1:28" ht="14.55" customHeight="1" x14ac:dyDescent="0.3">
      <c r="A399" s="8">
        <v>107</v>
      </c>
      <c r="B399" s="8"/>
      <c r="C399" s="8"/>
      <c r="D399" s="8" t="str">
        <f ca="1">IFERROR(__xludf.DUMMYFUNCTION("""COMPUTED_VALUE"""),"24/07/2024")</f>
        <v>24/07/2024</v>
      </c>
      <c r="E399" s="16" t="str">
        <f ca="1">IFERROR(__xludf.DUMMYFUNCTION("""COMPUTED_VALUE"""),"Player")</f>
        <v>Player</v>
      </c>
      <c r="F399" s="8" t="str">
        <f ca="1">IFERROR(__xludf.DUMMYFUNCTION("""COMPUTED_VALUE"""),"Van de Lagemaat, Arend")</f>
        <v>Van de Lagemaat, Arend</v>
      </c>
      <c r="G399" s="16" t="str">
        <f ca="1">IFERROR(__xludf.DUMMYFUNCTION("""COMPUTED_VALUE"""),"NED")</f>
        <v>NED</v>
      </c>
      <c r="H399" s="8"/>
      <c r="I399" s="8">
        <f ca="1">IFERROR(__xludf.DUMMYFUNCTION("""COMPUTED_VALUE"""),100)</f>
        <v>100</v>
      </c>
      <c r="J399" s="8"/>
      <c r="K399" s="8"/>
      <c r="L399" s="8" t="str">
        <f ca="1">IFERROR(__xludf.DUMMYFUNCTION("""COMPUTED_VALUE"""),"Paul Keres 2")</f>
        <v>Paul Keres 2</v>
      </c>
      <c r="M399" s="16" t="str">
        <f ca="1">IFERROR(__xludf.DUMMYFUNCTION("""COMPUTED_VALUE"""),"NED")</f>
        <v>NED</v>
      </c>
      <c r="N399" s="16" t="str">
        <f ca="1">IFERROR(__xludf.DUMMYFUNCTION("""COMPUTED_VALUE"""),"Fontana")</f>
        <v>Fontana</v>
      </c>
      <c r="O399" s="8"/>
      <c r="P399" s="8">
        <f ca="1">IFERROR(__xludf.DUMMYFUNCTION("""COMPUTED_VALUE"""),104)</f>
        <v>104</v>
      </c>
      <c r="Q399" s="8">
        <f ca="1">IFERROR(__xludf.DUMMYFUNCTION("""COMPUTED_VALUE"""),8)</f>
        <v>8</v>
      </c>
      <c r="R399" s="8">
        <f ca="1">IFERROR(__xludf.DUMMYFUNCTION("""COMPUTED_VALUE"""),832)</f>
        <v>832</v>
      </c>
      <c r="S399" s="8">
        <f ca="1">IFERROR(__xludf.DUMMYFUNCTION("""COMPUTED_VALUE"""),12.8)</f>
        <v>12.8</v>
      </c>
      <c r="T399" s="8">
        <f ca="1">IFERROR(__xludf.DUMMYFUNCTION("""COMPUTED_VALUE"""),844.8)</f>
        <v>844.8</v>
      </c>
      <c r="U399" s="8"/>
      <c r="V399" s="8"/>
      <c r="W399" s="8"/>
      <c r="X399" s="8"/>
      <c r="Y399" s="8"/>
      <c r="Z399" s="37" t="str">
        <f ca="1">IFERROR(__xludf.DUMMYFUNCTION("""COMPUTED_VALUE"""),"JU262")</f>
        <v>JU262</v>
      </c>
      <c r="AA399" s="37" t="str">
        <f ca="1">IFERROR(__xludf.DUMMYFUNCTION("""COMPUTED_VALUE"""),"28/10/2024")</f>
        <v>28/10/2024</v>
      </c>
      <c r="AB399" s="64">
        <f ca="1">IFERROR(__xludf.DUMMYFUNCTION("""COMPUTED_VALUE"""),0.739583333333333)</f>
        <v>0.73958333333333304</v>
      </c>
    </row>
    <row r="400" spans="1:28" ht="14.55" customHeight="1" x14ac:dyDescent="0.3">
      <c r="A400" s="8">
        <v>108</v>
      </c>
      <c r="B400" s="8"/>
      <c r="C400" s="8"/>
      <c r="D400" s="8" t="str">
        <f ca="1">IFERROR(__xludf.DUMMYFUNCTION("""COMPUTED_VALUE"""),"24/07/2024")</f>
        <v>24/07/2024</v>
      </c>
      <c r="E400" s="16" t="str">
        <f ca="1">IFERROR(__xludf.DUMMYFUNCTION("""COMPUTED_VALUE"""),"Player")</f>
        <v>Player</v>
      </c>
      <c r="F400" s="8" t="str">
        <f ca="1">IFERROR(__xludf.DUMMYFUNCTION("""COMPUTED_VALUE"""),"Van Veenendaal, Elmer")</f>
        <v>Van Veenendaal, Elmer</v>
      </c>
      <c r="G400" s="16" t="str">
        <f ca="1">IFERROR(__xludf.DUMMYFUNCTION("""COMPUTED_VALUE"""),"NED")</f>
        <v>NED</v>
      </c>
      <c r="H400" s="8"/>
      <c r="I400" s="8">
        <f ca="1">IFERROR(__xludf.DUMMYFUNCTION("""COMPUTED_VALUE"""),100)</f>
        <v>100</v>
      </c>
      <c r="J400" s="8"/>
      <c r="K400" s="8"/>
      <c r="L400" s="8" t="str">
        <f ca="1">IFERROR(__xludf.DUMMYFUNCTION("""COMPUTED_VALUE"""),"Paul Keres 2")</f>
        <v>Paul Keres 2</v>
      </c>
      <c r="M400" s="16" t="str">
        <f ca="1">IFERROR(__xludf.DUMMYFUNCTION("""COMPUTED_VALUE"""),"NED")</f>
        <v>NED</v>
      </c>
      <c r="N400" s="16" t="str">
        <f ca="1">IFERROR(__xludf.DUMMYFUNCTION("""COMPUTED_VALUE"""),"Fontana")</f>
        <v>Fontana</v>
      </c>
      <c r="O400" s="8"/>
      <c r="P400" s="8">
        <f ca="1">IFERROR(__xludf.DUMMYFUNCTION("""COMPUTED_VALUE"""),104)</f>
        <v>104</v>
      </c>
      <c r="Q400" s="8">
        <f ca="1">IFERROR(__xludf.DUMMYFUNCTION("""COMPUTED_VALUE"""),10)</f>
        <v>10</v>
      </c>
      <c r="R400" s="8">
        <f ca="1">IFERROR(__xludf.DUMMYFUNCTION("""COMPUTED_VALUE"""),1040)</f>
        <v>1040</v>
      </c>
      <c r="S400" s="8">
        <f ca="1">IFERROR(__xludf.DUMMYFUNCTION("""COMPUTED_VALUE"""),16)</f>
        <v>16</v>
      </c>
      <c r="T400" s="8">
        <f ca="1">IFERROR(__xludf.DUMMYFUNCTION("""COMPUTED_VALUE"""),1056)</f>
        <v>1056</v>
      </c>
      <c r="U400" s="8"/>
      <c r="V400" s="8"/>
      <c r="W400" s="8"/>
      <c r="X400" s="8"/>
      <c r="Y400" s="8"/>
      <c r="Z400" s="37" t="str">
        <f ca="1">IFERROR(__xludf.DUMMYFUNCTION("""COMPUTED_VALUE"""),"JU262")</f>
        <v>JU262</v>
      </c>
      <c r="AA400" s="37" t="str">
        <f ca="1">IFERROR(__xludf.DUMMYFUNCTION("""COMPUTED_VALUE"""),"28/10/2024")</f>
        <v>28/10/2024</v>
      </c>
      <c r="AB400" s="64">
        <f ca="1">IFERROR(__xludf.DUMMYFUNCTION("""COMPUTED_VALUE"""),0.739583333333333)</f>
        <v>0.73958333333333304</v>
      </c>
    </row>
    <row r="401" spans="1:28" ht="14.55" customHeight="1" x14ac:dyDescent="0.3">
      <c r="A401" s="8">
        <v>109</v>
      </c>
      <c r="B401" s="8"/>
      <c r="C401" s="8"/>
      <c r="D401" s="8" t="str">
        <f ca="1">IFERROR(__xludf.DUMMYFUNCTION("""COMPUTED_VALUE"""),"15/08/2024")</f>
        <v>15/08/2024</v>
      </c>
      <c r="E401" s="16" t="str">
        <f ca="1">IFERROR(__xludf.DUMMYFUNCTION("""COMPUTED_VALUE"""),"Player")</f>
        <v>Player</v>
      </c>
      <c r="F401" s="8" t="str">
        <f ca="1">IFERROR(__xludf.DUMMYFUNCTION("""COMPUTED_VALUE"""),"Van Foreest, Machteld")</f>
        <v>Van Foreest, Machteld</v>
      </c>
      <c r="G401" s="8" t="str">
        <f ca="1">IFERROR(__xludf.DUMMYFUNCTION("""COMPUTED_VALUE"""),"NED")</f>
        <v>NED</v>
      </c>
      <c r="H401" s="8"/>
      <c r="I401" s="8">
        <f ca="1">IFERROR(__xludf.DUMMYFUNCTION("""COMPUTED_VALUE"""),100)</f>
        <v>100</v>
      </c>
      <c r="J401" s="8"/>
      <c r="K401" s="8"/>
      <c r="L401" s="8" t="s">
        <v>4</v>
      </c>
      <c r="M401" s="8" t="str">
        <f ca="1">IFERROR(__xludf.DUMMYFUNCTION("""COMPUTED_VALUE"""),"GER")</f>
        <v>GER</v>
      </c>
      <c r="N401" s="16" t="str">
        <f ca="1">IFERROR(__xludf.DUMMYFUNCTION("""COMPUTED_VALUE"""),"Zepter")</f>
        <v>Zepter</v>
      </c>
      <c r="O401" s="8" t="str">
        <f ca="1">IFERROR(__xludf.DUMMYFUNCTION("""COMPUTED_VALUE"""),"Double")</f>
        <v>Double</v>
      </c>
      <c r="P401" s="8" t="str">
        <f ca="1">IFERROR(__xludf.DUMMYFUNCTION("""COMPUTED_VALUE"""),"Muetsch")</f>
        <v>Muetsch</v>
      </c>
      <c r="Q401" s="8">
        <f ca="1">IFERROR(__xludf.DUMMYFUNCTION("""COMPUTED_VALUE"""),8)</f>
        <v>8</v>
      </c>
      <c r="R401" s="8">
        <f ca="1">IFERROR(__xludf.DUMMYFUNCTION("""COMPUTED_VALUE"""),656)</f>
        <v>656</v>
      </c>
      <c r="S401" s="8">
        <f ca="1">IFERROR(__xludf.DUMMYFUNCTION("""COMPUTED_VALUE"""),12.8)</f>
        <v>12.8</v>
      </c>
      <c r="T401" s="8">
        <f ca="1">IFERROR(__xludf.DUMMYFUNCTION("""COMPUTED_VALUE"""),668.8)</f>
        <v>668.8</v>
      </c>
      <c r="U401" s="8"/>
      <c r="V401" s="8"/>
      <c r="W401" s="8"/>
      <c r="X401" s="8"/>
      <c r="Y401" s="8"/>
      <c r="Z401" s="37" t="str">
        <f ca="1">IFERROR(__xludf.DUMMYFUNCTION("""COMPUTED_VALUE"""),"JU 262")</f>
        <v>JU 262</v>
      </c>
      <c r="AA401" s="37" t="str">
        <f ca="1">IFERROR(__xludf.DUMMYFUNCTION("""COMPUTED_VALUE"""),"27/10/2024")</f>
        <v>27/10/2024</v>
      </c>
      <c r="AB401" s="64">
        <f ca="1">IFERROR(__xludf.DUMMYFUNCTION("""COMPUTED_VALUE"""),0.739583333333333)</f>
        <v>0.73958333333333304</v>
      </c>
    </row>
    <row r="402" spans="1:28" ht="14.55" customHeight="1" x14ac:dyDescent="0.3">
      <c r="A402" s="8">
        <v>110</v>
      </c>
      <c r="B402" s="8"/>
      <c r="C402" s="8"/>
      <c r="D402" s="13">
        <f ca="1">IFERROR(__xludf.DUMMYFUNCTION("""COMPUTED_VALUE"""),45512)</f>
        <v>45512</v>
      </c>
      <c r="E402" s="16" t="str">
        <f ca="1">IFERROR(__xludf.DUMMYFUNCTION("""COMPUTED_VALUE"""),"Player")</f>
        <v>Player</v>
      </c>
      <c r="F402" s="8" t="str">
        <f ca="1">IFERROR(__xludf.DUMMYFUNCTION("""COMPUTED_VALUE"""),"Ris, Robert")</f>
        <v>Ris, Robert</v>
      </c>
      <c r="G402" s="16" t="str">
        <f ca="1">IFERROR(__xludf.DUMMYFUNCTION("""COMPUTED_VALUE"""),"NED")</f>
        <v>NED</v>
      </c>
      <c r="H402" s="8"/>
      <c r="I402" s="8">
        <f ca="1">IFERROR(__xludf.DUMMYFUNCTION("""COMPUTED_VALUE"""),100)</f>
        <v>100</v>
      </c>
      <c r="J402" s="8"/>
      <c r="K402" s="8"/>
      <c r="L402" s="8" t="str">
        <f ca="1">IFERROR(__xludf.DUMMYFUNCTION("""COMPUTED_VALUE"""),"SV Erkenschwick")</f>
        <v>SV Erkenschwick</v>
      </c>
      <c r="M402" s="16" t="str">
        <f ca="1">IFERROR(__xludf.DUMMYFUNCTION("""COMPUTED_VALUE"""),"GER")</f>
        <v>GER</v>
      </c>
      <c r="N402" s="16" t="str">
        <f ca="1">IFERROR(__xludf.DUMMYFUNCTION("""COMPUTED_VALUE"""),"Fontana")</f>
        <v>Fontana</v>
      </c>
      <c r="O402" s="8"/>
      <c r="P402" s="8">
        <f ca="1">IFERROR(__xludf.DUMMYFUNCTION("""COMPUTED_VALUE"""),104)</f>
        <v>104</v>
      </c>
      <c r="Q402" s="8">
        <f ca="1">IFERROR(__xludf.DUMMYFUNCTION("""COMPUTED_VALUE"""),8)</f>
        <v>8</v>
      </c>
      <c r="R402" s="8">
        <f ca="1">IFERROR(__xludf.DUMMYFUNCTION("""COMPUTED_VALUE"""),832)</f>
        <v>832</v>
      </c>
      <c r="S402" s="8">
        <f ca="1">IFERROR(__xludf.DUMMYFUNCTION("""COMPUTED_VALUE"""),12.8)</f>
        <v>12.8</v>
      </c>
      <c r="T402" s="8">
        <f ca="1">IFERROR(__xludf.DUMMYFUNCTION("""COMPUTED_VALUE"""),844.8)</f>
        <v>844.8</v>
      </c>
      <c r="U402" s="8"/>
      <c r="V402" s="8"/>
      <c r="W402" s="8"/>
      <c r="X402" s="8"/>
      <c r="Y402" s="8"/>
      <c r="Z402" s="37" t="str">
        <f ca="1">IFERROR(__xludf.DUMMYFUNCTION("""COMPUTED_VALUE"""),"JU262")</f>
        <v>JU262</v>
      </c>
      <c r="AA402" s="37" t="str">
        <f ca="1">IFERROR(__xludf.DUMMYFUNCTION("""COMPUTED_VALUE"""),"27/10/2024")</f>
        <v>27/10/2024</v>
      </c>
      <c r="AB402" s="64">
        <f ca="1">IFERROR(__xludf.DUMMYFUNCTION("""COMPUTED_VALUE"""),0.739583333333333)</f>
        <v>0.73958333333333304</v>
      </c>
    </row>
    <row r="403" spans="1:28" ht="14.55" customHeight="1" x14ac:dyDescent="0.3">
      <c r="A403" s="8">
        <v>111</v>
      </c>
      <c r="B403" s="8"/>
      <c r="C403" s="8"/>
      <c r="D403" s="13">
        <f ca="1">IFERROR(__xludf.DUMMYFUNCTION("""COMPUTED_VALUE"""),45512)</f>
        <v>45512</v>
      </c>
      <c r="E403" s="16" t="str">
        <f ca="1">IFERROR(__xludf.DUMMYFUNCTION("""COMPUTED_VALUE"""),"Player")</f>
        <v>Player</v>
      </c>
      <c r="F403" s="8" t="str">
        <f ca="1">IFERROR(__xludf.DUMMYFUNCTION("""COMPUTED_VALUE"""),"Jonkman, Harmen")</f>
        <v>Jonkman, Harmen</v>
      </c>
      <c r="G403" s="16" t="str">
        <f ca="1">IFERROR(__xludf.DUMMYFUNCTION("""COMPUTED_VALUE"""),"NED")</f>
        <v>NED</v>
      </c>
      <c r="H403" s="8"/>
      <c r="I403" s="8">
        <f ca="1">IFERROR(__xludf.DUMMYFUNCTION("""COMPUTED_VALUE"""),100)</f>
        <v>100</v>
      </c>
      <c r="J403" s="8"/>
      <c r="K403" s="8"/>
      <c r="L403" s="8" t="str">
        <f ca="1">IFERROR(__xludf.DUMMYFUNCTION("""COMPUTED_VALUE"""),"SV Erkenschwick")</f>
        <v>SV Erkenschwick</v>
      </c>
      <c r="M403" s="16" t="str">
        <f ca="1">IFERROR(__xludf.DUMMYFUNCTION("""COMPUTED_VALUE"""),"GER")</f>
        <v>GER</v>
      </c>
      <c r="N403" s="16" t="str">
        <f ca="1">IFERROR(__xludf.DUMMYFUNCTION("""COMPUTED_VALUE"""),"Fontana")</f>
        <v>Fontana</v>
      </c>
      <c r="O403" s="8"/>
      <c r="P403" s="8">
        <f ca="1">IFERROR(__xludf.DUMMYFUNCTION("""COMPUTED_VALUE"""),104)</f>
        <v>104</v>
      </c>
      <c r="Q403" s="8">
        <f ca="1">IFERROR(__xludf.DUMMYFUNCTION("""COMPUTED_VALUE"""),8)</f>
        <v>8</v>
      </c>
      <c r="R403" s="8">
        <f ca="1">IFERROR(__xludf.DUMMYFUNCTION("""COMPUTED_VALUE"""),832)</f>
        <v>832</v>
      </c>
      <c r="S403" s="8">
        <f ca="1">IFERROR(__xludf.DUMMYFUNCTION("""COMPUTED_VALUE"""),12.8)</f>
        <v>12.8</v>
      </c>
      <c r="T403" s="8">
        <f ca="1">IFERROR(__xludf.DUMMYFUNCTION("""COMPUTED_VALUE"""),844.8)</f>
        <v>844.8</v>
      </c>
      <c r="U403" s="8"/>
      <c r="V403" s="8"/>
      <c r="W403" s="8"/>
      <c r="X403" s="8"/>
      <c r="Y403" s="8"/>
      <c r="Z403" s="37" t="str">
        <f ca="1">IFERROR(__xludf.DUMMYFUNCTION("""COMPUTED_VALUE"""),"JU262")</f>
        <v>JU262</v>
      </c>
      <c r="AA403" s="37" t="str">
        <f ca="1">IFERROR(__xludf.DUMMYFUNCTION("""COMPUTED_VALUE"""),"27/10/2024")</f>
        <v>27/10/2024</v>
      </c>
      <c r="AB403" s="64">
        <f ca="1">IFERROR(__xludf.DUMMYFUNCTION("""COMPUTED_VALUE"""),0.739583333333333)</f>
        <v>0.73958333333333304</v>
      </c>
    </row>
    <row r="404" spans="1:28" ht="14.55" customHeight="1" x14ac:dyDescent="0.3">
      <c r="A404" s="8">
        <v>112</v>
      </c>
      <c r="B404" s="8"/>
      <c r="C404" s="8"/>
      <c r="D404" s="13">
        <f ca="1">IFERROR(__xludf.DUMMYFUNCTION("""COMPUTED_VALUE"""),45390)</f>
        <v>45390</v>
      </c>
      <c r="E404" s="16" t="str">
        <f ca="1">IFERROR(__xludf.DUMMYFUNCTION("""COMPUTED_VALUE"""),"Player")</f>
        <v>Player</v>
      </c>
      <c r="F404" s="8" t="str">
        <f ca="1">IFERROR(__xludf.DUMMYFUNCTION("""COMPUTED_VALUE"""),"Van Osch, Mees")</f>
        <v>Van Osch, Mees</v>
      </c>
      <c r="G404" s="16" t="str">
        <f ca="1">IFERROR(__xludf.DUMMYFUNCTION("""COMPUTED_VALUE"""),"NED")</f>
        <v>NED</v>
      </c>
      <c r="H404" s="8"/>
      <c r="I404" s="8">
        <f ca="1">IFERROR(__xludf.DUMMYFUNCTION("""COMPUTED_VALUE"""),100)</f>
        <v>100</v>
      </c>
      <c r="J404" s="8"/>
      <c r="K404" s="8"/>
      <c r="L404" s="8" t="str">
        <f ca="1">IFERROR(__xludf.DUMMYFUNCTION("""COMPUTED_VALUE"""),"SV Muehlheim Nord")</f>
        <v>SV Muehlheim Nord</v>
      </c>
      <c r="M404" s="16" t="str">
        <f ca="1">IFERROR(__xludf.DUMMYFUNCTION("""COMPUTED_VALUE"""),"GER")</f>
        <v>GER</v>
      </c>
      <c r="N404" s="16" t="str">
        <f ca="1">IFERROR(__xludf.DUMMYFUNCTION("""COMPUTED_VALUE"""),"Zepter")</f>
        <v>Zepter</v>
      </c>
      <c r="O404" s="8"/>
      <c r="P404" s="8">
        <f ca="1">IFERROR(__xludf.DUMMYFUNCTION("""COMPUTED_VALUE"""),104)</f>
        <v>104</v>
      </c>
      <c r="Q404" s="8">
        <f ca="1">IFERROR(__xludf.DUMMYFUNCTION("""COMPUTED_VALUE"""),9)</f>
        <v>9</v>
      </c>
      <c r="R404" s="8">
        <f ca="1">IFERROR(__xludf.DUMMYFUNCTION("""COMPUTED_VALUE"""),936)</f>
        <v>936</v>
      </c>
      <c r="S404" s="8">
        <f ca="1">IFERROR(__xludf.DUMMYFUNCTION("""COMPUTED_VALUE"""),14.4)</f>
        <v>14.4</v>
      </c>
      <c r="T404" s="8">
        <f ca="1">IFERROR(__xludf.DUMMYFUNCTION("""COMPUTED_VALUE"""),950.4)</f>
        <v>950.4</v>
      </c>
      <c r="U404" s="8"/>
      <c r="V404" s="8"/>
      <c r="W404" s="8"/>
      <c r="X404" s="8"/>
      <c r="Y404" s="8"/>
      <c r="Z404" s="37" t="str">
        <f ca="1">IFERROR(__xludf.DUMMYFUNCTION("""COMPUTED_VALUE"""),"JU262")</f>
        <v>JU262</v>
      </c>
      <c r="AA404" s="37" t="str">
        <f ca="1">IFERROR(__xludf.DUMMYFUNCTION("""COMPUTED_VALUE"""),"27/10/2024")</f>
        <v>27/10/2024</v>
      </c>
      <c r="AB404" s="64">
        <f ca="1">IFERROR(__xludf.DUMMYFUNCTION("""COMPUTED_VALUE"""),0.739583333333333)</f>
        <v>0.73958333333333304</v>
      </c>
    </row>
    <row r="405" spans="1:28" ht="14.55" customHeight="1" x14ac:dyDescent="0.3">
      <c r="A405" s="8">
        <v>113</v>
      </c>
      <c r="B405" s="8"/>
      <c r="C405" s="8"/>
      <c r="D405" s="13">
        <f ca="1">IFERROR(__xludf.DUMMYFUNCTION("""COMPUTED_VALUE"""),45390)</f>
        <v>45390</v>
      </c>
      <c r="E405" s="16" t="str">
        <f ca="1">IFERROR(__xludf.DUMMYFUNCTION("""COMPUTED_VALUE"""),"Player")</f>
        <v>Player</v>
      </c>
      <c r="F405" s="8" t="str">
        <f ca="1">IFERROR(__xludf.DUMMYFUNCTION("""COMPUTED_VALUE"""),"Bus, Tom")</f>
        <v>Bus, Tom</v>
      </c>
      <c r="G405" s="16" t="str">
        <f ca="1">IFERROR(__xludf.DUMMYFUNCTION("""COMPUTED_VALUE"""),"NED")</f>
        <v>NED</v>
      </c>
      <c r="H405" s="8"/>
      <c r="I405" s="8">
        <f ca="1">IFERROR(__xludf.DUMMYFUNCTION("""COMPUTED_VALUE"""),100)</f>
        <v>100</v>
      </c>
      <c r="J405" s="8"/>
      <c r="K405" s="8"/>
      <c r="L405" s="8" t="str">
        <f ca="1">IFERROR(__xludf.DUMMYFUNCTION("""COMPUTED_VALUE"""),"SV Muehlheim Nord")</f>
        <v>SV Muehlheim Nord</v>
      </c>
      <c r="M405" s="16" t="str">
        <f ca="1">IFERROR(__xludf.DUMMYFUNCTION("""COMPUTED_VALUE"""),"GER")</f>
        <v>GER</v>
      </c>
      <c r="N405" s="16" t="str">
        <f ca="1">IFERROR(__xludf.DUMMYFUNCTION("""COMPUTED_VALUE"""),"Zepter")</f>
        <v>Zepter</v>
      </c>
      <c r="O405" s="8"/>
      <c r="P405" s="8">
        <f ca="1">IFERROR(__xludf.DUMMYFUNCTION("""COMPUTED_VALUE"""),104)</f>
        <v>104</v>
      </c>
      <c r="Q405" s="8">
        <f ca="1">IFERROR(__xludf.DUMMYFUNCTION("""COMPUTED_VALUE"""),9)</f>
        <v>9</v>
      </c>
      <c r="R405" s="8">
        <f ca="1">IFERROR(__xludf.DUMMYFUNCTION("""COMPUTED_VALUE"""),936)</f>
        <v>936</v>
      </c>
      <c r="S405" s="8">
        <f ca="1">IFERROR(__xludf.DUMMYFUNCTION("""COMPUTED_VALUE"""),14.4)</f>
        <v>14.4</v>
      </c>
      <c r="T405" s="8">
        <f ca="1">IFERROR(__xludf.DUMMYFUNCTION("""COMPUTED_VALUE"""),950.4)</f>
        <v>950.4</v>
      </c>
      <c r="U405" s="8"/>
      <c r="V405" s="8"/>
      <c r="W405" s="8"/>
      <c r="X405" s="8"/>
      <c r="Y405" s="8"/>
      <c r="Z405" s="37" t="str">
        <f ca="1">IFERROR(__xludf.DUMMYFUNCTION("""COMPUTED_VALUE"""),"JU262")</f>
        <v>JU262</v>
      </c>
      <c r="AA405" s="37" t="str">
        <f ca="1">IFERROR(__xludf.DUMMYFUNCTION("""COMPUTED_VALUE"""),"27/10/2024")</f>
        <v>27/10/2024</v>
      </c>
      <c r="AB405" s="64">
        <f ca="1">IFERROR(__xludf.DUMMYFUNCTION("""COMPUTED_VALUE"""),0.739583333333333)</f>
        <v>0.73958333333333304</v>
      </c>
    </row>
    <row r="406" spans="1:28" ht="14.55" customHeight="1" x14ac:dyDescent="0.3">
      <c r="A406" s="8">
        <v>114</v>
      </c>
      <c r="B406" s="8"/>
      <c r="C406" s="8"/>
      <c r="D406" s="8" t="str">
        <f ca="1">IFERROR(__xludf.DUMMYFUNCTION("""COMPUTED_VALUE"""),"18/07/2024")</f>
        <v>18/07/2024</v>
      </c>
      <c r="E406" s="16" t="str">
        <f ca="1">IFERROR(__xludf.DUMMYFUNCTION("""COMPUTED_VALUE"""),"Player")</f>
        <v>Player</v>
      </c>
      <c r="F406" s="8" t="str">
        <f ca="1">IFERROR(__xludf.DUMMYFUNCTION("""COMPUTED_VALUE"""),"De Vleeschauwer, Maarten")</f>
        <v>De Vleeschauwer, Maarten</v>
      </c>
      <c r="G406" s="16" t="str">
        <f ca="1">IFERROR(__xludf.DUMMYFUNCTION("""COMPUTED_VALUE"""),"BEL")</f>
        <v>BEL</v>
      </c>
      <c r="H406" s="8"/>
      <c r="I406" s="8">
        <f ca="1">IFERROR(__xludf.DUMMYFUNCTION("""COMPUTED_VALUE"""),100)</f>
        <v>100</v>
      </c>
      <c r="J406" s="8"/>
      <c r="K406" s="8"/>
      <c r="L406" s="8" t="str">
        <f ca="1">IFERROR(__xludf.DUMMYFUNCTION("""COMPUTED_VALUE"""),"(Wetteren) Koninklijke Wetterse Vrijpion")</f>
        <v>(Wetteren) Koninklijke Wetterse Vrijpion</v>
      </c>
      <c r="M406" s="16" t="str">
        <f ca="1">IFERROR(__xludf.DUMMYFUNCTION("""COMPUTED_VALUE"""),"BEL")</f>
        <v>BEL</v>
      </c>
      <c r="N406" s="16" t="str">
        <f ca="1">IFERROR(__xludf.DUMMYFUNCTION("""COMPUTED_VALUE"""),"Zepter")</f>
        <v>Zepter</v>
      </c>
      <c r="O406" s="8" t="str">
        <f ca="1">IFERROR(__xludf.DUMMYFUNCTION("""COMPUTED_VALUE"""),"Sterck Arno")</f>
        <v>Sterck Arno</v>
      </c>
      <c r="P406" s="8">
        <f ca="1">IFERROR(__xludf.DUMMYFUNCTION("""COMPUTED_VALUE"""),82)</f>
        <v>82</v>
      </c>
      <c r="Q406" s="8">
        <f ca="1">IFERROR(__xludf.DUMMYFUNCTION("""COMPUTED_VALUE"""),8)</f>
        <v>8</v>
      </c>
      <c r="R406" s="8">
        <f ca="1">IFERROR(__xludf.DUMMYFUNCTION("""COMPUTED_VALUE"""),656)</f>
        <v>656</v>
      </c>
      <c r="S406" s="8">
        <f ca="1">IFERROR(__xludf.DUMMYFUNCTION("""COMPUTED_VALUE"""),12.8)</f>
        <v>12.8</v>
      </c>
      <c r="T406" s="8">
        <f ca="1">IFERROR(__xludf.DUMMYFUNCTION("""COMPUTED_VALUE"""),668.8)</f>
        <v>668.8</v>
      </c>
      <c r="U406" s="8"/>
      <c r="V406" s="8"/>
      <c r="W406" s="8"/>
      <c r="X406" s="8"/>
      <c r="Y406" s="8"/>
      <c r="Z406" s="37" t="s">
        <v>31</v>
      </c>
      <c r="AA406" s="37" t="str">
        <f ca="1">IFERROR(__xludf.DUMMYFUNCTION("""COMPUTED_VALUE"""),"27/10/2024")</f>
        <v>27/10/2024</v>
      </c>
      <c r="AB406" s="64">
        <v>0.73958333333333337</v>
      </c>
    </row>
    <row r="407" spans="1:28" ht="14.55" customHeight="1" x14ac:dyDescent="0.3">
      <c r="A407" s="8">
        <v>115</v>
      </c>
      <c r="B407" s="8"/>
      <c r="C407" s="8"/>
      <c r="D407" s="8" t="str">
        <f ca="1">IFERROR(__xludf.DUMMYFUNCTION("""COMPUTED_VALUE"""),"18/07/2024")</f>
        <v>18/07/2024</v>
      </c>
      <c r="E407" s="16" t="str">
        <f ca="1">IFERROR(__xludf.DUMMYFUNCTION("""COMPUTED_VALUE"""),"Player")</f>
        <v>Player</v>
      </c>
      <c r="F407" s="8" t="str">
        <f ca="1">IFERROR(__xludf.DUMMYFUNCTION("""COMPUTED_VALUE"""),"Sterck, Arno")</f>
        <v>Sterck, Arno</v>
      </c>
      <c r="G407" s="16" t="str">
        <f ca="1">IFERROR(__xludf.DUMMYFUNCTION("""COMPUTED_VALUE"""),"BEL")</f>
        <v>BEL</v>
      </c>
      <c r="H407" s="8"/>
      <c r="I407" s="8">
        <f ca="1">IFERROR(__xludf.DUMMYFUNCTION("""COMPUTED_VALUE"""),100)</f>
        <v>100</v>
      </c>
      <c r="J407" s="8"/>
      <c r="K407" s="8"/>
      <c r="L407" s="8" t="str">
        <f ca="1">IFERROR(__xludf.DUMMYFUNCTION("""COMPUTED_VALUE"""),"(Wetteren) Koninklijke Wetterse Vrijpion")</f>
        <v>(Wetteren) Koninklijke Wetterse Vrijpion</v>
      </c>
      <c r="M407" s="16" t="str">
        <f ca="1">IFERROR(__xludf.DUMMYFUNCTION("""COMPUTED_VALUE"""),"BEL")</f>
        <v>BEL</v>
      </c>
      <c r="N407" s="16" t="str">
        <f ca="1">IFERROR(__xludf.DUMMYFUNCTION("""COMPUTED_VALUE"""),"Zepter")</f>
        <v>Zepter</v>
      </c>
      <c r="O407" s="8" t="str">
        <f ca="1">IFERROR(__xludf.DUMMYFUNCTION("""COMPUTED_VALUE"""),"De Vleeschauwer Maarten")</f>
        <v>De Vleeschauwer Maarten</v>
      </c>
      <c r="P407" s="8">
        <f ca="1">IFERROR(__xludf.DUMMYFUNCTION("""COMPUTED_VALUE"""),82)</f>
        <v>82</v>
      </c>
      <c r="Q407" s="8">
        <f ca="1">IFERROR(__xludf.DUMMYFUNCTION("""COMPUTED_VALUE"""),8)</f>
        <v>8</v>
      </c>
      <c r="R407" s="8">
        <f ca="1">IFERROR(__xludf.DUMMYFUNCTION("""COMPUTED_VALUE"""),656)</f>
        <v>656</v>
      </c>
      <c r="S407" s="8">
        <f ca="1">IFERROR(__xludf.DUMMYFUNCTION("""COMPUTED_VALUE"""),12.8)</f>
        <v>12.8</v>
      </c>
      <c r="T407" s="8">
        <f ca="1">IFERROR(__xludf.DUMMYFUNCTION("""COMPUTED_VALUE"""),668.8)</f>
        <v>668.8</v>
      </c>
      <c r="U407" s="8"/>
      <c r="V407" s="8"/>
      <c r="W407" s="8"/>
      <c r="X407" s="8"/>
      <c r="Y407" s="8"/>
      <c r="Z407" s="37" t="s">
        <v>31</v>
      </c>
      <c r="AA407" s="37" t="str">
        <f ca="1">IFERROR(__xludf.DUMMYFUNCTION("""COMPUTED_VALUE"""),"27/10/2024")</f>
        <v>27/10/2024</v>
      </c>
      <c r="AB407" s="64">
        <v>0.73958333333333337</v>
      </c>
    </row>
    <row r="408" spans="1:28" ht="14.55" customHeight="1" x14ac:dyDescent="0.3">
      <c r="A408" s="8">
        <v>116</v>
      </c>
      <c r="B408" s="8"/>
      <c r="C408" s="8"/>
      <c r="D408" s="8" t="str">
        <f ca="1">IFERROR(__xludf.DUMMYFUNCTION("""COMPUTED_VALUE"""),"19/07/2024")</f>
        <v>19/07/2024</v>
      </c>
      <c r="E408" s="16" t="str">
        <f ca="1">IFERROR(__xludf.DUMMYFUNCTION("""COMPUTED_VALUE"""),"Player")</f>
        <v>Player</v>
      </c>
      <c r="F408" s="8" t="str">
        <f ca="1">IFERROR(__xludf.DUMMYFUNCTION("""COMPUTED_VALUE"""),"Wemmers, Xander")</f>
        <v>Wemmers, Xander</v>
      </c>
      <c r="G408" s="16" t="str">
        <f ca="1">IFERROR(__xludf.DUMMYFUNCTION("""COMPUTED_VALUE"""),"NED")</f>
        <v>NED</v>
      </c>
      <c r="H408" s="8"/>
      <c r="I408" s="8">
        <f ca="1">IFERROR(__xludf.DUMMYFUNCTION("""COMPUTED_VALUE"""),100)</f>
        <v>100</v>
      </c>
      <c r="J408" s="8"/>
      <c r="K408" s="8"/>
      <c r="L408" s="8" t="str">
        <f ca="1">IFERROR(__xludf.DUMMYFUNCTION("""COMPUTED_VALUE"""),"Paul Keres 1")</f>
        <v>Paul Keres 1</v>
      </c>
      <c r="M408" s="16" t="str">
        <f ca="1">IFERROR(__xludf.DUMMYFUNCTION("""COMPUTED_VALUE"""),"NED")</f>
        <v>NED</v>
      </c>
      <c r="N408" s="16" t="str">
        <f ca="1">IFERROR(__xludf.DUMMYFUNCTION("""COMPUTED_VALUE"""),"Fontana")</f>
        <v>Fontana</v>
      </c>
      <c r="O408" s="8"/>
      <c r="P408" s="8">
        <f ca="1">IFERROR(__xludf.DUMMYFUNCTION("""COMPUTED_VALUE"""),104)</f>
        <v>104</v>
      </c>
      <c r="Q408" s="8">
        <f ca="1">IFERROR(__xludf.DUMMYFUNCTION("""COMPUTED_VALUE"""),9)</f>
        <v>9</v>
      </c>
      <c r="R408" s="8">
        <f ca="1">IFERROR(__xludf.DUMMYFUNCTION("""COMPUTED_VALUE"""),936)</f>
        <v>936</v>
      </c>
      <c r="S408" s="8">
        <f ca="1">IFERROR(__xludf.DUMMYFUNCTION("""COMPUTED_VALUE"""),14.4)</f>
        <v>14.4</v>
      </c>
      <c r="T408" s="8">
        <f ca="1">IFERROR(__xludf.DUMMYFUNCTION("""COMPUTED_VALUE"""),950.4)</f>
        <v>950.4</v>
      </c>
      <c r="U408" s="8"/>
      <c r="V408" s="8"/>
      <c r="W408" s="8"/>
      <c r="X408" s="8"/>
      <c r="Y408" s="8"/>
      <c r="Z408" s="37" t="str">
        <f ca="1">IFERROR(__xludf.DUMMYFUNCTION("""COMPUTED_VALUE"""),"JU 262")</f>
        <v>JU 262</v>
      </c>
      <c r="AA408" s="37" t="str">
        <f ca="1">IFERROR(__xludf.DUMMYFUNCTION("""COMPUTED_VALUE"""),"27/10/2024")</f>
        <v>27/10/2024</v>
      </c>
      <c r="AB408" s="64">
        <f ca="1">IFERROR(__xludf.DUMMYFUNCTION("""COMPUTED_VALUE"""),0.743055555555555)</f>
        <v>0.74305555555555503</v>
      </c>
    </row>
    <row r="409" spans="1:28" ht="25.2" customHeight="1" x14ac:dyDescent="0.4">
      <c r="A409" s="48" t="s">
        <v>64</v>
      </c>
      <c r="B409" s="49"/>
      <c r="C409" s="49"/>
      <c r="D409" s="49"/>
      <c r="E409" s="50"/>
      <c r="F409" s="49"/>
      <c r="G409" s="50"/>
      <c r="H409" s="49"/>
      <c r="I409" s="49"/>
      <c r="J409" s="49"/>
      <c r="K409" s="49"/>
      <c r="L409" s="49"/>
      <c r="M409" s="50"/>
      <c r="N409" s="50"/>
      <c r="O409" s="49"/>
      <c r="P409" s="49"/>
      <c r="Q409" s="49"/>
      <c r="R409" s="49"/>
      <c r="S409" s="49"/>
      <c r="T409" s="49"/>
      <c r="U409" s="49"/>
      <c r="V409" s="49"/>
      <c r="W409" s="49"/>
      <c r="X409" s="49"/>
      <c r="Y409" s="49"/>
      <c r="Z409" s="69"/>
      <c r="AA409" s="53"/>
      <c r="AB409" s="62"/>
    </row>
    <row r="410" spans="1:28" ht="14.55" customHeight="1" x14ac:dyDescent="0.3">
      <c r="A410" s="8">
        <v>1</v>
      </c>
      <c r="B410" s="8"/>
      <c r="C410" s="8"/>
      <c r="D410" s="8" t="str">
        <f ca="1">IFERROR(__xludf.DUMMYFUNCTION("""COMPUTED_VALUE"""),"13/08/2024")</f>
        <v>13/08/2024</v>
      </c>
      <c r="E410" s="16" t="str">
        <f ca="1">IFERROR(__xludf.DUMMYFUNCTION("""COMPUTED_VALUE"""),"Player")</f>
        <v>Player</v>
      </c>
      <c r="F410" s="8" t="str">
        <f ca="1">IFERROR(__xludf.DUMMYFUNCTION("""COMPUTED_VALUE"""),"Sawatzki, Frank")</f>
        <v>Sawatzki, Frank</v>
      </c>
      <c r="G410" s="16" t="str">
        <f ca="1">IFERROR(__xludf.DUMMYFUNCTION("""COMPUTED_VALUE"""),"GER")</f>
        <v>GER</v>
      </c>
      <c r="H410" s="8"/>
      <c r="I410" s="8">
        <f ca="1">IFERROR(__xludf.DUMMYFUNCTION("""COMPUTED_VALUE"""),100)</f>
        <v>100</v>
      </c>
      <c r="J410" s="8"/>
      <c r="K410" s="8"/>
      <c r="L410" s="8" t="str">
        <f ca="1">IFERROR(__xludf.DUMMYFUNCTION("""COMPUTED_VALUE"""),"FC ST.Pauli 1910 eV Sabt")</f>
        <v>FC ST.Pauli 1910 eV Sabt</v>
      </c>
      <c r="M410" s="16" t="str">
        <f ca="1">IFERROR(__xludf.DUMMYFUNCTION("""COMPUTED_VALUE"""),"GER")</f>
        <v>GER</v>
      </c>
      <c r="N410" s="16" t="str">
        <f ca="1">IFERROR(__xludf.DUMMYFUNCTION("""COMPUTED_VALUE"""),"Fontana")</f>
        <v>Fontana</v>
      </c>
      <c r="O410" s="8"/>
      <c r="P410" s="8">
        <f ca="1">IFERROR(__xludf.DUMMYFUNCTION("""COMPUTED_VALUE"""),104)</f>
        <v>104</v>
      </c>
      <c r="Q410" s="8">
        <f ca="1">IFERROR(__xludf.DUMMYFUNCTION("""COMPUTED_VALUE"""),8)</f>
        <v>8</v>
      </c>
      <c r="R410" s="8">
        <f ca="1">IFERROR(__xludf.DUMMYFUNCTION("""COMPUTED_VALUE"""),832)</f>
        <v>832</v>
      </c>
      <c r="S410" s="8">
        <f ca="1">IFERROR(__xludf.DUMMYFUNCTION("""COMPUTED_VALUE"""),12.8)</f>
        <v>12.8</v>
      </c>
      <c r="T410" s="8">
        <f ca="1">IFERROR(__xludf.DUMMYFUNCTION("""COMPUTED_VALUE"""),844.8)</f>
        <v>844.8</v>
      </c>
      <c r="U410" s="8"/>
      <c r="V410" s="8"/>
      <c r="W410" s="8"/>
      <c r="X410" s="8"/>
      <c r="Y410" s="8"/>
      <c r="Z410" s="67" t="s">
        <v>32</v>
      </c>
      <c r="AA410" s="37" t="str">
        <f ca="1">IFERROR(__xludf.DUMMYFUNCTION("""COMPUTED_VALUE"""),"27/10/2024")</f>
        <v>27/10/2024</v>
      </c>
      <c r="AB410" s="64"/>
    </row>
    <row r="411" spans="1:28" ht="14.55" customHeight="1" x14ac:dyDescent="0.3">
      <c r="A411" s="8">
        <v>2</v>
      </c>
      <c r="B411" s="8"/>
      <c r="C411" s="8" t="str">
        <f ca="1">IFERROR(__xludf.DUMMYFUNCTION("""COMPUTED_VALUE"""),"NOV umesto Mueller, Fabian")</f>
        <v>NOV umesto Mueller, Fabian</v>
      </c>
      <c r="D411" s="8" t="str">
        <f ca="1">IFERROR(__xludf.DUMMYFUNCTION("""COMPUTED_VALUE"""),"13/08/2024")</f>
        <v>13/08/2024</v>
      </c>
      <c r="E411" s="16" t="str">
        <f ca="1">IFERROR(__xludf.DUMMYFUNCTION("""COMPUTED_VALUE"""),"Player")</f>
        <v>Player</v>
      </c>
      <c r="F411" s="8" t="str">
        <f ca="1">IFERROR(__xludf.DUMMYFUNCTION("""COMPUTED_VALUE"""),"Voigt, Martin")</f>
        <v>Voigt, Martin</v>
      </c>
      <c r="G411" s="16" t="str">
        <f ca="1">IFERROR(__xludf.DUMMYFUNCTION("""COMPUTED_VALUE"""),"GER")</f>
        <v>GER</v>
      </c>
      <c r="H411" s="8"/>
      <c r="I411" s="8">
        <f ca="1">IFERROR(__xludf.DUMMYFUNCTION("""COMPUTED_VALUE"""),100)</f>
        <v>100</v>
      </c>
      <c r="J411" s="8"/>
      <c r="K411" s="8"/>
      <c r="L411" s="8" t="str">
        <f ca="1">IFERROR(__xludf.DUMMYFUNCTION("""COMPUTED_VALUE"""),"FC ST.Pauli 1910 eV Sabt")</f>
        <v>FC ST.Pauli 1910 eV Sabt</v>
      </c>
      <c r="M411" s="16" t="str">
        <f ca="1">IFERROR(__xludf.DUMMYFUNCTION("""COMPUTED_VALUE"""),"GER")</f>
        <v>GER</v>
      </c>
      <c r="N411" s="16" t="str">
        <f ca="1">IFERROR(__xludf.DUMMYFUNCTION("""COMPUTED_VALUE"""),"Fontana")</f>
        <v>Fontana</v>
      </c>
      <c r="O411" s="8"/>
      <c r="P411" s="8">
        <f ca="1">IFERROR(__xludf.DUMMYFUNCTION("""COMPUTED_VALUE"""),104)</f>
        <v>104</v>
      </c>
      <c r="Q411" s="8">
        <f ca="1">IFERROR(__xludf.DUMMYFUNCTION("""COMPUTED_VALUE"""),8)</f>
        <v>8</v>
      </c>
      <c r="R411" s="8">
        <f ca="1">IFERROR(__xludf.DUMMYFUNCTION("""COMPUTED_VALUE"""),832)</f>
        <v>832</v>
      </c>
      <c r="S411" s="8">
        <f ca="1">IFERROR(__xludf.DUMMYFUNCTION("""COMPUTED_VALUE"""),12.8)</f>
        <v>12.8</v>
      </c>
      <c r="T411" s="8">
        <f ca="1">IFERROR(__xludf.DUMMYFUNCTION("""COMPUTED_VALUE"""),844.8)</f>
        <v>844.8</v>
      </c>
      <c r="U411" s="8"/>
      <c r="V411" s="8"/>
      <c r="W411" s="8"/>
      <c r="X411" s="8"/>
      <c r="Y411" s="8"/>
      <c r="Z411" s="67" t="s">
        <v>32</v>
      </c>
      <c r="AA411" s="37" t="str">
        <f ca="1">IFERROR(__xludf.DUMMYFUNCTION("""COMPUTED_VALUE"""),"27/10/2024")</f>
        <v>27/10/2024</v>
      </c>
      <c r="AB411" s="64"/>
    </row>
    <row r="412" spans="1:28" ht="14.55" customHeight="1" x14ac:dyDescent="0.3">
      <c r="A412" s="8">
        <v>3</v>
      </c>
      <c r="B412" s="8"/>
      <c r="C412" s="8"/>
      <c r="D412" s="8" t="str">
        <f ca="1">IFERROR(__xludf.DUMMYFUNCTION("""COMPUTED_VALUE"""),"15/07/2024")</f>
        <v>15/07/2024</v>
      </c>
      <c r="E412" s="16" t="str">
        <f ca="1">IFERROR(__xludf.DUMMYFUNCTION("""COMPUTED_VALUE"""),"Player")</f>
        <v>Player</v>
      </c>
      <c r="F412" s="8" t="str">
        <f ca="1">IFERROR(__xludf.DUMMYFUNCTION("""COMPUTED_VALUE"""),"Gorshtein, Ido")</f>
        <v>Gorshtein, Ido</v>
      </c>
      <c r="G412" s="16" t="str">
        <f ca="1">IFERROR(__xludf.DUMMYFUNCTION("""COMPUTED_VALUE"""),"ISR")</f>
        <v>ISR</v>
      </c>
      <c r="H412" s="8"/>
      <c r="I412" s="8">
        <f ca="1">IFERROR(__xludf.DUMMYFUNCTION("""COMPUTED_VALUE"""),100)</f>
        <v>100</v>
      </c>
      <c r="J412" s="8"/>
      <c r="K412" s="8"/>
      <c r="L412" s="8" t="str">
        <f ca="1">IFERROR(__xludf.DUMMYFUNCTION("""COMPUTED_VALUE"""),"Kfar Saba")</f>
        <v>Kfar Saba</v>
      </c>
      <c r="M412" s="16" t="str">
        <f ca="1">IFERROR(__xludf.DUMMYFUNCTION("""COMPUTED_VALUE"""),"ISR")</f>
        <v>ISR</v>
      </c>
      <c r="N412" s="16" t="str">
        <f ca="1">IFERROR(__xludf.DUMMYFUNCTION("""COMPUTED_VALUE"""),"Terme")</f>
        <v>Terme</v>
      </c>
      <c r="O412" s="8" t="str">
        <f ca="1">IFERROR(__xludf.DUMMYFUNCTION("""COMPUTED_VALUE"""),"Asaf Givon")</f>
        <v>Asaf Givon</v>
      </c>
      <c r="P412" s="8">
        <f ca="1">IFERROR(__xludf.DUMMYFUNCTION("""COMPUTED_VALUE"""),82)</f>
        <v>82</v>
      </c>
      <c r="Q412" s="8">
        <f ca="1">IFERROR(__xludf.DUMMYFUNCTION("""COMPUTED_VALUE"""),8)</f>
        <v>8</v>
      </c>
      <c r="R412" s="8">
        <f ca="1">IFERROR(__xludf.DUMMYFUNCTION("""COMPUTED_VALUE"""),656)</f>
        <v>656</v>
      </c>
      <c r="S412" s="8">
        <f ca="1">IFERROR(__xludf.DUMMYFUNCTION("""COMPUTED_VALUE"""),12.8)</f>
        <v>12.8</v>
      </c>
      <c r="T412" s="8">
        <f ca="1">IFERROR(__xludf.DUMMYFUNCTION("""COMPUTED_VALUE"""),668.8)</f>
        <v>668.8</v>
      </c>
      <c r="U412" s="8"/>
      <c r="V412" s="8"/>
      <c r="W412" s="8" t="str">
        <f ca="1">IFERROR(__xludf.DUMMYFUNCTION("""COMPUTED_VALUE"""),"YES")</f>
        <v>YES</v>
      </c>
      <c r="X412" s="8"/>
      <c r="Y412" s="8"/>
      <c r="Z412" s="67" t="s">
        <v>32</v>
      </c>
      <c r="AA412" s="37" t="str">
        <f ca="1">IFERROR(__xludf.DUMMYFUNCTION("""COMPUTED_VALUE"""),"27/10/2024")</f>
        <v>27/10/2024</v>
      </c>
      <c r="AB412" s="64"/>
    </row>
    <row r="413" spans="1:28" ht="14.55" customHeight="1" x14ac:dyDescent="0.3">
      <c r="A413" s="8">
        <v>4</v>
      </c>
      <c r="B413" s="8"/>
      <c r="C413" s="8"/>
      <c r="D413" s="8" t="str">
        <f ca="1">IFERROR(__xludf.DUMMYFUNCTION("""COMPUTED_VALUE"""),"15/07/2024")</f>
        <v>15/07/2024</v>
      </c>
      <c r="E413" s="16" t="str">
        <f ca="1">IFERROR(__xludf.DUMMYFUNCTION("""COMPUTED_VALUE"""),"Player")</f>
        <v>Player</v>
      </c>
      <c r="F413" s="8" t="str">
        <f ca="1">IFERROR(__xludf.DUMMYFUNCTION("""COMPUTED_VALUE"""),"Boruchovsky, Avital")</f>
        <v>Boruchovsky, Avital</v>
      </c>
      <c r="G413" s="16" t="str">
        <f ca="1">IFERROR(__xludf.DUMMYFUNCTION("""COMPUTED_VALUE"""),"ISR")</f>
        <v>ISR</v>
      </c>
      <c r="H413" s="8"/>
      <c r="I413" s="8">
        <f ca="1">IFERROR(__xludf.DUMMYFUNCTION("""COMPUTED_VALUE"""),100)</f>
        <v>100</v>
      </c>
      <c r="J413" s="8"/>
      <c r="K413" s="8"/>
      <c r="L413" s="8" t="str">
        <f ca="1">IFERROR(__xludf.DUMMYFUNCTION("""COMPUTED_VALUE"""),"Kfar Saba")</f>
        <v>Kfar Saba</v>
      </c>
      <c r="M413" s="16" t="str">
        <f ca="1">IFERROR(__xludf.DUMMYFUNCTION("""COMPUTED_VALUE"""),"ISR")</f>
        <v>ISR</v>
      </c>
      <c r="N413" s="16" t="str">
        <f ca="1">IFERROR(__xludf.DUMMYFUNCTION("""COMPUTED_VALUE"""),"Terme")</f>
        <v>Terme</v>
      </c>
      <c r="O413" s="8" t="str">
        <f ca="1">IFERROR(__xludf.DUMMYFUNCTION("""COMPUTED_VALUE"""),"Alon Mindlin")</f>
        <v>Alon Mindlin</v>
      </c>
      <c r="P413" s="8">
        <f ca="1">IFERROR(__xludf.DUMMYFUNCTION("""COMPUTED_VALUE"""),82)</f>
        <v>82</v>
      </c>
      <c r="Q413" s="8">
        <f ca="1">IFERROR(__xludf.DUMMYFUNCTION("""COMPUTED_VALUE"""),8)</f>
        <v>8</v>
      </c>
      <c r="R413" s="8">
        <f ca="1">IFERROR(__xludf.DUMMYFUNCTION("""COMPUTED_VALUE"""),656)</f>
        <v>656</v>
      </c>
      <c r="S413" s="8">
        <f ca="1">IFERROR(__xludf.DUMMYFUNCTION("""COMPUTED_VALUE"""),12.8)</f>
        <v>12.8</v>
      </c>
      <c r="T413" s="8">
        <f ca="1">IFERROR(__xludf.DUMMYFUNCTION("""COMPUTED_VALUE"""),668.8)</f>
        <v>668.8</v>
      </c>
      <c r="U413" s="8"/>
      <c r="V413" s="8"/>
      <c r="W413" s="8" t="str">
        <f ca="1">IFERROR(__xludf.DUMMYFUNCTION("""COMPUTED_VALUE"""),"YES")</f>
        <v>YES</v>
      </c>
      <c r="X413" s="8"/>
      <c r="Y413" s="8"/>
      <c r="Z413" s="67" t="s">
        <v>32</v>
      </c>
      <c r="AA413" s="37" t="str">
        <f ca="1">IFERROR(__xludf.DUMMYFUNCTION("""COMPUTED_VALUE"""),"27/10/2024")</f>
        <v>27/10/2024</v>
      </c>
      <c r="AB413" s="64"/>
    </row>
    <row r="414" spans="1:28" ht="14.55" customHeight="1" x14ac:dyDescent="0.3">
      <c r="A414" s="8">
        <v>5</v>
      </c>
      <c r="B414" s="8"/>
      <c r="C414" s="8"/>
      <c r="D414" s="8" t="str">
        <f ca="1">IFERROR(__xludf.DUMMYFUNCTION("""COMPUTED_VALUE"""),"15/07/2024")</f>
        <v>15/07/2024</v>
      </c>
      <c r="E414" s="16" t="str">
        <f ca="1">IFERROR(__xludf.DUMMYFUNCTION("""COMPUTED_VALUE"""),"Player")</f>
        <v>Player</v>
      </c>
      <c r="F414" s="8" t="str">
        <f ca="1">IFERROR(__xludf.DUMMYFUNCTION("""COMPUTED_VALUE"""),"Rozen, Eytan")</f>
        <v>Rozen, Eytan</v>
      </c>
      <c r="G414" s="16" t="str">
        <f ca="1">IFERROR(__xludf.DUMMYFUNCTION("""COMPUTED_VALUE"""),"ISR")</f>
        <v>ISR</v>
      </c>
      <c r="H414" s="8"/>
      <c r="I414" s="8">
        <f ca="1">IFERROR(__xludf.DUMMYFUNCTION("""COMPUTED_VALUE"""),100)</f>
        <v>100</v>
      </c>
      <c r="J414" s="8"/>
      <c r="K414" s="8"/>
      <c r="L414" s="8" t="str">
        <f ca="1">IFERROR(__xludf.DUMMYFUNCTION("""COMPUTED_VALUE"""),"Kfar Saba")</f>
        <v>Kfar Saba</v>
      </c>
      <c r="M414" s="16" t="str">
        <f ca="1">IFERROR(__xludf.DUMMYFUNCTION("""COMPUTED_VALUE"""),"ISR")</f>
        <v>ISR</v>
      </c>
      <c r="N414" s="16" t="str">
        <f ca="1">IFERROR(__xludf.DUMMYFUNCTION("""COMPUTED_VALUE"""),"Terme")</f>
        <v>Terme</v>
      </c>
      <c r="O414" s="8" t="str">
        <f ca="1">IFERROR(__xludf.DUMMYFUNCTION("""COMPUTED_VALUE"""),"Ariel Erenberg")</f>
        <v>Ariel Erenberg</v>
      </c>
      <c r="P414" s="8">
        <f ca="1">IFERROR(__xludf.DUMMYFUNCTION("""COMPUTED_VALUE"""),82)</f>
        <v>82</v>
      </c>
      <c r="Q414" s="8">
        <f ca="1">IFERROR(__xludf.DUMMYFUNCTION("""COMPUTED_VALUE"""),8)</f>
        <v>8</v>
      </c>
      <c r="R414" s="8">
        <f ca="1">IFERROR(__xludf.DUMMYFUNCTION("""COMPUTED_VALUE"""),656)</f>
        <v>656</v>
      </c>
      <c r="S414" s="8">
        <f ca="1">IFERROR(__xludf.DUMMYFUNCTION("""COMPUTED_VALUE"""),12.8)</f>
        <v>12.8</v>
      </c>
      <c r="T414" s="8">
        <f ca="1">IFERROR(__xludf.DUMMYFUNCTION("""COMPUTED_VALUE"""),668.8)</f>
        <v>668.8</v>
      </c>
      <c r="U414" s="8"/>
      <c r="V414" s="8"/>
      <c r="W414" s="8" t="str">
        <f ca="1">IFERROR(__xludf.DUMMYFUNCTION("""COMPUTED_VALUE"""),"YES")</f>
        <v>YES</v>
      </c>
      <c r="X414" s="8"/>
      <c r="Y414" s="8"/>
      <c r="Z414" s="67" t="s">
        <v>32</v>
      </c>
      <c r="AA414" s="37" t="str">
        <f ca="1">IFERROR(__xludf.DUMMYFUNCTION("""COMPUTED_VALUE"""),"27/10/2024")</f>
        <v>27/10/2024</v>
      </c>
      <c r="AB414" s="64"/>
    </row>
    <row r="415" spans="1:28" ht="14.55" customHeight="1" x14ac:dyDescent="0.3">
      <c r="A415" s="8">
        <v>6</v>
      </c>
      <c r="B415" s="8"/>
      <c r="C415" s="8"/>
      <c r="D415" s="8" t="str">
        <f ca="1">IFERROR(__xludf.DUMMYFUNCTION("""COMPUTED_VALUE"""),"15/07/2024")</f>
        <v>15/07/2024</v>
      </c>
      <c r="E415" s="16" t="str">
        <f ca="1">IFERROR(__xludf.DUMMYFUNCTION("""COMPUTED_VALUE"""),"Player")</f>
        <v>Player</v>
      </c>
      <c r="F415" s="8" t="str">
        <f ca="1">IFERROR(__xludf.DUMMYFUNCTION("""COMPUTED_VALUE"""),"Erenberg, Ariel")</f>
        <v>Erenberg, Ariel</v>
      </c>
      <c r="G415" s="16" t="str">
        <f ca="1">IFERROR(__xludf.DUMMYFUNCTION("""COMPUTED_VALUE"""),"ISR")</f>
        <v>ISR</v>
      </c>
      <c r="H415" s="8"/>
      <c r="I415" s="8">
        <f ca="1">IFERROR(__xludf.DUMMYFUNCTION("""COMPUTED_VALUE"""),100)</f>
        <v>100</v>
      </c>
      <c r="J415" s="8"/>
      <c r="K415" s="8"/>
      <c r="L415" s="8" t="str">
        <f ca="1">IFERROR(__xludf.DUMMYFUNCTION("""COMPUTED_VALUE"""),"Kfar Saba")</f>
        <v>Kfar Saba</v>
      </c>
      <c r="M415" s="16" t="str">
        <f ca="1">IFERROR(__xludf.DUMMYFUNCTION("""COMPUTED_VALUE"""),"ISR")</f>
        <v>ISR</v>
      </c>
      <c r="N415" s="16" t="str">
        <f ca="1">IFERROR(__xludf.DUMMYFUNCTION("""COMPUTED_VALUE"""),"Terme")</f>
        <v>Terme</v>
      </c>
      <c r="O415" s="8" t="str">
        <f ca="1">IFERROR(__xludf.DUMMYFUNCTION("""COMPUTED_VALUE"""),"Eytan Rozen")</f>
        <v>Eytan Rozen</v>
      </c>
      <c r="P415" s="8">
        <f ca="1">IFERROR(__xludf.DUMMYFUNCTION("""COMPUTED_VALUE"""),82)</f>
        <v>82</v>
      </c>
      <c r="Q415" s="8">
        <f ca="1">IFERROR(__xludf.DUMMYFUNCTION("""COMPUTED_VALUE"""),8)</f>
        <v>8</v>
      </c>
      <c r="R415" s="8">
        <f ca="1">IFERROR(__xludf.DUMMYFUNCTION("""COMPUTED_VALUE"""),656)</f>
        <v>656</v>
      </c>
      <c r="S415" s="8">
        <f ca="1">IFERROR(__xludf.DUMMYFUNCTION("""COMPUTED_VALUE"""),12.8)</f>
        <v>12.8</v>
      </c>
      <c r="T415" s="8">
        <f ca="1">IFERROR(__xludf.DUMMYFUNCTION("""COMPUTED_VALUE"""),668.8)</f>
        <v>668.8</v>
      </c>
      <c r="U415" s="8"/>
      <c r="V415" s="8"/>
      <c r="W415" s="8" t="str">
        <f ca="1">IFERROR(__xludf.DUMMYFUNCTION("""COMPUTED_VALUE"""),"YES")</f>
        <v>YES</v>
      </c>
      <c r="X415" s="8"/>
      <c r="Y415" s="8"/>
      <c r="Z415" s="67" t="s">
        <v>32</v>
      </c>
      <c r="AA415" s="37" t="str">
        <f ca="1">IFERROR(__xludf.DUMMYFUNCTION("""COMPUTED_VALUE"""),"27/10/2024")</f>
        <v>27/10/2024</v>
      </c>
      <c r="AB415" s="64"/>
    </row>
    <row r="416" spans="1:28" ht="14.55" customHeight="1" x14ac:dyDescent="0.3">
      <c r="A416" s="8">
        <v>7</v>
      </c>
      <c r="B416" s="8"/>
      <c r="C416" s="8"/>
      <c r="D416" s="8" t="str">
        <f ca="1">IFERROR(__xludf.DUMMYFUNCTION("""COMPUTED_VALUE"""),"15/07/2024")</f>
        <v>15/07/2024</v>
      </c>
      <c r="E416" s="16" t="str">
        <f ca="1">IFERROR(__xludf.DUMMYFUNCTION("""COMPUTED_VALUE"""),"Player")</f>
        <v>Player</v>
      </c>
      <c r="F416" s="8" t="str">
        <f ca="1">IFERROR(__xludf.DUMMYFUNCTION("""COMPUTED_VALUE"""),"Mindlin, Alon")</f>
        <v>Mindlin, Alon</v>
      </c>
      <c r="G416" s="16" t="str">
        <f ca="1">IFERROR(__xludf.DUMMYFUNCTION("""COMPUTED_VALUE"""),"ISR")</f>
        <v>ISR</v>
      </c>
      <c r="H416" s="8"/>
      <c r="I416" s="8">
        <f ca="1">IFERROR(__xludf.DUMMYFUNCTION("""COMPUTED_VALUE"""),100)</f>
        <v>100</v>
      </c>
      <c r="J416" s="8"/>
      <c r="K416" s="8"/>
      <c r="L416" s="8" t="str">
        <f ca="1">IFERROR(__xludf.DUMMYFUNCTION("""COMPUTED_VALUE"""),"Kfar Saba")</f>
        <v>Kfar Saba</v>
      </c>
      <c r="M416" s="16" t="str">
        <f ca="1">IFERROR(__xludf.DUMMYFUNCTION("""COMPUTED_VALUE"""),"ISR")</f>
        <v>ISR</v>
      </c>
      <c r="N416" s="16" t="str">
        <f ca="1">IFERROR(__xludf.DUMMYFUNCTION("""COMPUTED_VALUE"""),"Terme")</f>
        <v>Terme</v>
      </c>
      <c r="O416" s="8" t="str">
        <f ca="1">IFERROR(__xludf.DUMMYFUNCTION("""COMPUTED_VALUE"""),"Avital Boruchov")</f>
        <v>Avital Boruchov</v>
      </c>
      <c r="P416" s="8">
        <f ca="1">IFERROR(__xludf.DUMMYFUNCTION("""COMPUTED_VALUE"""),82)</f>
        <v>82</v>
      </c>
      <c r="Q416" s="8">
        <f ca="1">IFERROR(__xludf.DUMMYFUNCTION("""COMPUTED_VALUE"""),8)</f>
        <v>8</v>
      </c>
      <c r="R416" s="8">
        <f ca="1">IFERROR(__xludf.DUMMYFUNCTION("""COMPUTED_VALUE"""),656)</f>
        <v>656</v>
      </c>
      <c r="S416" s="8">
        <f ca="1">IFERROR(__xludf.DUMMYFUNCTION("""COMPUTED_VALUE"""),12.8)</f>
        <v>12.8</v>
      </c>
      <c r="T416" s="8">
        <f ca="1">IFERROR(__xludf.DUMMYFUNCTION("""COMPUTED_VALUE"""),668.8)</f>
        <v>668.8</v>
      </c>
      <c r="U416" s="8"/>
      <c r="V416" s="8"/>
      <c r="W416" s="8" t="str">
        <f ca="1">IFERROR(__xludf.DUMMYFUNCTION("""COMPUTED_VALUE"""),"YES")</f>
        <v>YES</v>
      </c>
      <c r="X416" s="8"/>
      <c r="Y416" s="8"/>
      <c r="Z416" s="67" t="s">
        <v>32</v>
      </c>
      <c r="AA416" s="37" t="str">
        <f ca="1">IFERROR(__xludf.DUMMYFUNCTION("""COMPUTED_VALUE"""),"27/10/2024")</f>
        <v>27/10/2024</v>
      </c>
      <c r="AB416" s="64"/>
    </row>
    <row r="417" spans="1:28" ht="14.55" customHeight="1" x14ac:dyDescent="0.3">
      <c r="A417" s="8">
        <v>8</v>
      </c>
      <c r="B417" s="8"/>
      <c r="C417" s="8"/>
      <c r="D417" s="8" t="str">
        <f ca="1">IFERROR(__xludf.DUMMYFUNCTION("""COMPUTED_VALUE"""),"15/07/2024")</f>
        <v>15/07/2024</v>
      </c>
      <c r="E417" s="16" t="str">
        <f ca="1">IFERROR(__xludf.DUMMYFUNCTION("""COMPUTED_VALUE"""),"Player")</f>
        <v>Player</v>
      </c>
      <c r="F417" s="8" t="str">
        <f ca="1">IFERROR(__xludf.DUMMYFUNCTION("""COMPUTED_VALUE"""),"Givon, Asaf")</f>
        <v>Givon, Asaf</v>
      </c>
      <c r="G417" s="16" t="str">
        <f ca="1">IFERROR(__xludf.DUMMYFUNCTION("""COMPUTED_VALUE"""),"ISR")</f>
        <v>ISR</v>
      </c>
      <c r="H417" s="8"/>
      <c r="I417" s="8">
        <f ca="1">IFERROR(__xludf.DUMMYFUNCTION("""COMPUTED_VALUE"""),100)</f>
        <v>100</v>
      </c>
      <c r="J417" s="8"/>
      <c r="K417" s="8"/>
      <c r="L417" s="8" t="str">
        <f ca="1">IFERROR(__xludf.DUMMYFUNCTION("""COMPUTED_VALUE"""),"Kfar Saba")</f>
        <v>Kfar Saba</v>
      </c>
      <c r="M417" s="16" t="str">
        <f ca="1">IFERROR(__xludf.DUMMYFUNCTION("""COMPUTED_VALUE"""),"ISR")</f>
        <v>ISR</v>
      </c>
      <c r="N417" s="16" t="str">
        <f ca="1">IFERROR(__xludf.DUMMYFUNCTION("""COMPUTED_VALUE"""),"Terme")</f>
        <v>Terme</v>
      </c>
      <c r="O417" s="8" t="str">
        <f ca="1">IFERROR(__xludf.DUMMYFUNCTION("""COMPUTED_VALUE"""),"Ido Gorshtein")</f>
        <v>Ido Gorshtein</v>
      </c>
      <c r="P417" s="8">
        <f ca="1">IFERROR(__xludf.DUMMYFUNCTION("""COMPUTED_VALUE"""),82)</f>
        <v>82</v>
      </c>
      <c r="Q417" s="8">
        <f ca="1">IFERROR(__xludf.DUMMYFUNCTION("""COMPUTED_VALUE"""),8)</f>
        <v>8</v>
      </c>
      <c r="R417" s="8">
        <f ca="1">IFERROR(__xludf.DUMMYFUNCTION("""COMPUTED_VALUE"""),656)</f>
        <v>656</v>
      </c>
      <c r="S417" s="8">
        <f ca="1">IFERROR(__xludf.DUMMYFUNCTION("""COMPUTED_VALUE"""),12.8)</f>
        <v>12.8</v>
      </c>
      <c r="T417" s="8">
        <f ca="1">IFERROR(__xludf.DUMMYFUNCTION("""COMPUTED_VALUE"""),668.8)</f>
        <v>668.8</v>
      </c>
      <c r="U417" s="8"/>
      <c r="V417" s="8"/>
      <c r="W417" s="8" t="str">
        <f ca="1">IFERROR(__xludf.DUMMYFUNCTION("""COMPUTED_VALUE"""),"YES")</f>
        <v>YES</v>
      </c>
      <c r="X417" s="8"/>
      <c r="Y417" s="8"/>
      <c r="Z417" s="67" t="s">
        <v>32</v>
      </c>
      <c r="AA417" s="37" t="str">
        <f ca="1">IFERROR(__xludf.DUMMYFUNCTION("""COMPUTED_VALUE"""),"27/10/2024")</f>
        <v>27/10/2024</v>
      </c>
      <c r="AB417" s="64"/>
    </row>
    <row r="418" spans="1:28" ht="14.55" customHeight="1" x14ac:dyDescent="0.3">
      <c r="A418" s="8">
        <v>9</v>
      </c>
      <c r="B418" s="8"/>
      <c r="C418" s="8"/>
      <c r="D418" s="8" t="str">
        <f ca="1">IFERROR(__xludf.DUMMYFUNCTION("""COMPUTED_VALUE"""),"15/07/2024")</f>
        <v>15/07/2024</v>
      </c>
      <c r="E418" s="16" t="str">
        <f ca="1">IFERROR(__xludf.DUMMYFUNCTION("""COMPUTED_VALUE"""),"Player")</f>
        <v>Player</v>
      </c>
      <c r="F418" s="8" t="str">
        <f ca="1">IFERROR(__xludf.DUMMYFUNCTION("""COMPUTED_VALUE"""),"Kaplan, Amiram")</f>
        <v>Kaplan, Amiram</v>
      </c>
      <c r="G418" s="16" t="str">
        <f ca="1">IFERROR(__xludf.DUMMYFUNCTION("""COMPUTED_VALUE"""),"ISR")</f>
        <v>ISR</v>
      </c>
      <c r="H418" s="8"/>
      <c r="I418" s="8">
        <f ca="1">IFERROR(__xludf.DUMMYFUNCTION("""COMPUTED_VALUE"""),100)</f>
        <v>100</v>
      </c>
      <c r="J418" s="8"/>
      <c r="K418" s="8"/>
      <c r="L418" s="8" t="str">
        <f ca="1">IFERROR(__xludf.DUMMYFUNCTION("""COMPUTED_VALUE"""),"Kfar Saba")</f>
        <v>Kfar Saba</v>
      </c>
      <c r="M418" s="16" t="str">
        <f ca="1">IFERROR(__xludf.DUMMYFUNCTION("""COMPUTED_VALUE"""),"ISR")</f>
        <v>ISR</v>
      </c>
      <c r="N418" s="16" t="str">
        <f ca="1">IFERROR(__xludf.DUMMYFUNCTION("""COMPUTED_VALUE"""),"Terme")</f>
        <v>Terme</v>
      </c>
      <c r="O418" s="8"/>
      <c r="P418" s="8">
        <f ca="1">IFERROR(__xludf.DUMMYFUNCTION("""COMPUTED_VALUE"""),104)</f>
        <v>104</v>
      </c>
      <c r="Q418" s="8">
        <f ca="1">IFERROR(__xludf.DUMMYFUNCTION("""COMPUTED_VALUE"""),8)</f>
        <v>8</v>
      </c>
      <c r="R418" s="8">
        <f ca="1">IFERROR(__xludf.DUMMYFUNCTION("""COMPUTED_VALUE"""),832)</f>
        <v>832</v>
      </c>
      <c r="S418" s="8">
        <f ca="1">IFERROR(__xludf.DUMMYFUNCTION("""COMPUTED_VALUE"""),12.8)</f>
        <v>12.8</v>
      </c>
      <c r="T418" s="8">
        <f ca="1">IFERROR(__xludf.DUMMYFUNCTION("""COMPUTED_VALUE"""),844.8)</f>
        <v>844.8</v>
      </c>
      <c r="U418" s="8"/>
      <c r="V418" s="8"/>
      <c r="W418" s="8" t="str">
        <f ca="1">IFERROR(__xludf.DUMMYFUNCTION("""COMPUTED_VALUE"""),"YES")</f>
        <v>YES</v>
      </c>
      <c r="X418" s="8"/>
      <c r="Y418" s="8"/>
      <c r="Z418" s="67" t="s">
        <v>32</v>
      </c>
      <c r="AA418" s="37" t="str">
        <f ca="1">IFERROR(__xludf.DUMMYFUNCTION("""COMPUTED_VALUE"""),"27/10/2024")</f>
        <v>27/10/2024</v>
      </c>
      <c r="AB418" s="64"/>
    </row>
    <row r="419" spans="1:28" ht="14.55" customHeight="1" x14ac:dyDescent="0.3">
      <c r="A419" s="8">
        <v>10</v>
      </c>
      <c r="B419" s="8"/>
      <c r="C419" s="8"/>
      <c r="D419" s="8" t="str">
        <f ca="1">IFERROR(__xludf.DUMMYFUNCTION("""COMPUTED_VALUE"""),"22/09/2024")</f>
        <v>22/09/2024</v>
      </c>
      <c r="E419" s="16"/>
      <c r="F419" s="8" t="s">
        <v>34</v>
      </c>
      <c r="G419" s="8"/>
      <c r="H419" s="8"/>
      <c r="I419" s="8"/>
      <c r="J419" s="8"/>
      <c r="K419" s="8"/>
      <c r="L419" s="8"/>
      <c r="M419" s="8"/>
      <c r="N419" s="16"/>
      <c r="O419" s="8"/>
      <c r="P419" s="8"/>
      <c r="Q419" s="8"/>
      <c r="R419" s="8"/>
      <c r="S419" s="8"/>
      <c r="T419" s="8"/>
      <c r="U419" s="8"/>
      <c r="V419" s="8"/>
      <c r="W419" s="8"/>
      <c r="X419" s="8"/>
      <c r="Y419" s="8"/>
      <c r="Z419" s="67" t="s">
        <v>32</v>
      </c>
      <c r="AA419" s="37" t="str">
        <f ca="1">IFERROR(__xludf.DUMMYFUNCTION("""COMPUTED_VALUE"""),"27/10/2024")</f>
        <v>27/10/2024</v>
      </c>
      <c r="AB419" s="64"/>
    </row>
    <row r="420" spans="1:28" ht="14.55" customHeight="1" x14ac:dyDescent="0.3">
      <c r="A420" s="8">
        <v>11</v>
      </c>
      <c r="B420" s="8"/>
      <c r="C420" s="8"/>
      <c r="D420" s="8" t="str">
        <f ca="1">IFERROR(__xludf.DUMMYFUNCTION("""COMPUTED_VALUE"""),"19/08/2024")</f>
        <v>19/08/2024</v>
      </c>
      <c r="E420" s="16" t="str">
        <f ca="1">IFERROR(__xludf.DUMMYFUNCTION("""COMPUTED_VALUE"""),"Player")</f>
        <v>Player</v>
      </c>
      <c r="F420" s="8" t="str">
        <f ca="1">IFERROR(__xludf.DUMMYFUNCTION("""COMPUTED_VALUE"""),"Petrovic, Aleksa")</f>
        <v>Petrovic, Aleksa</v>
      </c>
      <c r="G420" s="16" t="str">
        <f ca="1">IFERROR(__xludf.DUMMYFUNCTION("""COMPUTED_VALUE"""),"SRB")</f>
        <v>SRB</v>
      </c>
      <c r="H420" s="8"/>
      <c r="I420" s="8">
        <f ca="1">IFERROR(__xludf.DUMMYFUNCTION("""COMPUTED_VALUE"""),100)</f>
        <v>100</v>
      </c>
      <c r="J420" s="8"/>
      <c r="K420" s="8"/>
      <c r="L420" s="8" t="str">
        <f ca="1">IFERROR(__xludf.DUMMYFUNCTION("""COMPUTED_VALUE"""),"Radnicki")</f>
        <v>Radnicki</v>
      </c>
      <c r="M420" s="16" t="str">
        <f ca="1">IFERROR(__xludf.DUMMYFUNCTION("""COMPUTED_VALUE"""),"SRB")</f>
        <v>SRB</v>
      </c>
      <c r="N420" s="16" t="str">
        <f ca="1">IFERROR(__xludf.DUMMYFUNCTION("""COMPUTED_VALUE"""),"Terme")</f>
        <v>Terme</v>
      </c>
      <c r="O420" s="8" t="str">
        <f ca="1">IFERROR(__xludf.DUMMYFUNCTION("""COMPUTED_VALUE"""),"Oliinyk")</f>
        <v>Oliinyk</v>
      </c>
      <c r="P420" s="8"/>
      <c r="Q420" s="8">
        <f ca="1">IFERROR(__xludf.DUMMYFUNCTION("""COMPUTED_VALUE"""),8)</f>
        <v>8</v>
      </c>
      <c r="R420" s="8">
        <f ca="1">IFERROR(__xludf.DUMMYFUNCTION("""COMPUTED_VALUE"""),0)</f>
        <v>0</v>
      </c>
      <c r="S420" s="8">
        <f ca="1">IFERROR(__xludf.DUMMYFUNCTION("""COMPUTED_VALUE"""),12.8)</f>
        <v>12.8</v>
      </c>
      <c r="T420" s="8">
        <f ca="1">IFERROR(__xludf.DUMMYFUNCTION("""COMPUTED_VALUE"""),12.8)</f>
        <v>12.8</v>
      </c>
      <c r="U420" s="8"/>
      <c r="V420" s="8"/>
      <c r="W420" s="8"/>
      <c r="X420" s="8"/>
      <c r="Y420" s="8"/>
      <c r="Z420" s="67" t="s">
        <v>32</v>
      </c>
      <c r="AA420" s="37" t="str">
        <f ca="1">IFERROR(__xludf.DUMMYFUNCTION("""COMPUTED_VALUE"""),"27/10/2024")</f>
        <v>27/10/2024</v>
      </c>
      <c r="AB420" s="64"/>
    </row>
    <row r="421" spans="1:28" ht="14.55" customHeight="1" x14ac:dyDescent="0.3">
      <c r="A421" s="8">
        <v>12</v>
      </c>
      <c r="B421" s="8"/>
      <c r="C421" s="8"/>
      <c r="D421" s="8" t="str">
        <f ca="1">IFERROR(__xludf.DUMMYFUNCTION("""COMPUTED_VALUE"""),"19/08/2024")</f>
        <v>19/08/2024</v>
      </c>
      <c r="E421" s="16" t="str">
        <f ca="1">IFERROR(__xludf.DUMMYFUNCTION("""COMPUTED_VALUE"""),"Player")</f>
        <v>Player</v>
      </c>
      <c r="F421" s="8" t="str">
        <f ca="1">IFERROR(__xludf.DUMMYFUNCTION("""COMPUTED_VALUE"""),"Lundin, Jan")</f>
        <v>Lundin, Jan</v>
      </c>
      <c r="G421" s="16" t="str">
        <f ca="1">IFERROR(__xludf.DUMMYFUNCTION("""COMPUTED_VALUE"""),"SWE")</f>
        <v>SWE</v>
      </c>
      <c r="H421" s="8"/>
      <c r="I421" s="8">
        <f ca="1">IFERROR(__xludf.DUMMYFUNCTION("""COMPUTED_VALUE"""),100)</f>
        <v>100</v>
      </c>
      <c r="J421" s="8"/>
      <c r="K421" s="8"/>
      <c r="L421" s="8" t="str">
        <f ca="1">IFERROR(__xludf.DUMMYFUNCTION("""COMPUTED_VALUE"""),"Radnicki")</f>
        <v>Radnicki</v>
      </c>
      <c r="M421" s="16" t="str">
        <f ca="1">IFERROR(__xludf.DUMMYFUNCTION("""COMPUTED_VALUE"""),"SRB")</f>
        <v>SRB</v>
      </c>
      <c r="N421" s="16" t="str">
        <f ca="1">IFERROR(__xludf.DUMMYFUNCTION("""COMPUTED_VALUE"""),"Terme")</f>
        <v>Terme</v>
      </c>
      <c r="O421" s="8"/>
      <c r="P421" s="8"/>
      <c r="Q421" s="8">
        <f ca="1">IFERROR(__xludf.DUMMYFUNCTION("""COMPUTED_VALUE"""),8)</f>
        <v>8</v>
      </c>
      <c r="R421" s="8">
        <f ca="1">IFERROR(__xludf.DUMMYFUNCTION("""COMPUTED_VALUE"""),0)</f>
        <v>0</v>
      </c>
      <c r="S421" s="8">
        <f ca="1">IFERROR(__xludf.DUMMYFUNCTION("""COMPUTED_VALUE"""),12.8)</f>
        <v>12.8</v>
      </c>
      <c r="T421" s="8">
        <f ca="1">IFERROR(__xludf.DUMMYFUNCTION("""COMPUTED_VALUE"""),12.8)</f>
        <v>12.8</v>
      </c>
      <c r="U421" s="8"/>
      <c r="V421" s="8"/>
      <c r="W421" s="8"/>
      <c r="X421" s="8"/>
      <c r="Y421" s="8"/>
      <c r="Z421" s="67" t="s">
        <v>32</v>
      </c>
      <c r="AA421" s="37" t="str">
        <f ca="1">IFERROR(__xludf.DUMMYFUNCTION("""COMPUTED_VALUE"""),"27/10/2024")</f>
        <v>27/10/2024</v>
      </c>
      <c r="AB421" s="64"/>
    </row>
    <row r="422" spans="1:28" ht="14.55" customHeight="1" x14ac:dyDescent="0.3">
      <c r="A422" s="8">
        <v>13</v>
      </c>
      <c r="B422" s="8"/>
      <c r="C422" s="8"/>
      <c r="D422" s="8" t="str">
        <f ca="1">IFERROR(__xludf.DUMMYFUNCTION("""COMPUTED_VALUE"""),"19/08/2024")</f>
        <v>19/08/2024</v>
      </c>
      <c r="E422" s="16" t="str">
        <f ca="1">IFERROR(__xludf.DUMMYFUNCTION("""COMPUTED_VALUE"""),"Player")</f>
        <v>Player</v>
      </c>
      <c r="F422" s="8" t="str">
        <f ca="1">IFERROR(__xludf.DUMMYFUNCTION("""COMPUTED_VALUE"""),"Oliinyk, Serafym")</f>
        <v>Oliinyk, Serafym</v>
      </c>
      <c r="G422" s="16" t="str">
        <f ca="1">IFERROR(__xludf.DUMMYFUNCTION("""COMPUTED_VALUE"""),"SRB")</f>
        <v>SRB</v>
      </c>
      <c r="H422" s="8"/>
      <c r="I422" s="8">
        <f ca="1">IFERROR(__xludf.DUMMYFUNCTION("""COMPUTED_VALUE"""),100)</f>
        <v>100</v>
      </c>
      <c r="J422" s="8"/>
      <c r="K422" s="8"/>
      <c r="L422" s="8" t="str">
        <f ca="1">IFERROR(__xludf.DUMMYFUNCTION("""COMPUTED_VALUE"""),"Radnicki")</f>
        <v>Radnicki</v>
      </c>
      <c r="M422" s="16" t="str">
        <f ca="1">IFERROR(__xludf.DUMMYFUNCTION("""COMPUTED_VALUE"""),"SRB")</f>
        <v>SRB</v>
      </c>
      <c r="N422" s="16" t="str">
        <f ca="1">IFERROR(__xludf.DUMMYFUNCTION("""COMPUTED_VALUE"""),"Terme")</f>
        <v>Terme</v>
      </c>
      <c r="O422" s="8" t="str">
        <f ca="1">IFERROR(__xludf.DUMMYFUNCTION("""COMPUTED_VALUE"""),"Petrovic")</f>
        <v>Petrovic</v>
      </c>
      <c r="P422" s="8"/>
      <c r="Q422" s="8">
        <f ca="1">IFERROR(__xludf.DUMMYFUNCTION("""COMPUTED_VALUE"""),8)</f>
        <v>8</v>
      </c>
      <c r="R422" s="8">
        <f ca="1">IFERROR(__xludf.DUMMYFUNCTION("""COMPUTED_VALUE"""),0)</f>
        <v>0</v>
      </c>
      <c r="S422" s="8">
        <f ca="1">IFERROR(__xludf.DUMMYFUNCTION("""COMPUTED_VALUE"""),12.8)</f>
        <v>12.8</v>
      </c>
      <c r="T422" s="8">
        <f ca="1">IFERROR(__xludf.DUMMYFUNCTION("""COMPUTED_VALUE"""),12.8)</f>
        <v>12.8</v>
      </c>
      <c r="U422" s="8"/>
      <c r="V422" s="8"/>
      <c r="W422" s="8"/>
      <c r="X422" s="8"/>
      <c r="Y422" s="8"/>
      <c r="Z422" s="67" t="s">
        <v>32</v>
      </c>
      <c r="AA422" s="37" t="str">
        <f ca="1">IFERROR(__xludf.DUMMYFUNCTION("""COMPUTED_VALUE"""),"27/10/2024")</f>
        <v>27/10/2024</v>
      </c>
      <c r="AB422" s="64"/>
    </row>
    <row r="423" spans="1:28" ht="14.55" customHeight="1" x14ac:dyDescent="0.3">
      <c r="A423" s="8">
        <v>14</v>
      </c>
      <c r="B423" s="8"/>
      <c r="C423" s="8"/>
      <c r="D423" s="8" t="str">
        <f ca="1">IFERROR(__xludf.DUMMYFUNCTION("""COMPUTED_VALUE"""),"19/08/2024")</f>
        <v>19/08/2024</v>
      </c>
      <c r="E423" s="16" t="str">
        <f ca="1">IFERROR(__xludf.DUMMYFUNCTION("""COMPUTED_VALUE"""),"Player")</f>
        <v>Player</v>
      </c>
      <c r="F423" s="8" t="str">
        <f ca="1">IFERROR(__xludf.DUMMYFUNCTION("""COMPUTED_VALUE"""),"Simonovic, Miroslav")</f>
        <v>Simonovic, Miroslav</v>
      </c>
      <c r="G423" s="16" t="str">
        <f ca="1">IFERROR(__xludf.DUMMYFUNCTION("""COMPUTED_VALUE"""),"SRB")</f>
        <v>SRB</v>
      </c>
      <c r="H423" s="8"/>
      <c r="I423" s="8">
        <f ca="1">IFERROR(__xludf.DUMMYFUNCTION("""COMPUTED_VALUE"""),100)</f>
        <v>100</v>
      </c>
      <c r="J423" s="8"/>
      <c r="K423" s="8"/>
      <c r="L423" s="8" t="str">
        <f ca="1">IFERROR(__xludf.DUMMYFUNCTION("""COMPUTED_VALUE"""),"Radnicki")</f>
        <v>Radnicki</v>
      </c>
      <c r="M423" s="16" t="str">
        <f ca="1">IFERROR(__xludf.DUMMYFUNCTION("""COMPUTED_VALUE"""),"SRB")</f>
        <v>SRB</v>
      </c>
      <c r="N423" s="16" t="str">
        <f ca="1">IFERROR(__xludf.DUMMYFUNCTION("""COMPUTED_VALUE"""),"Terme")</f>
        <v>Terme</v>
      </c>
      <c r="O423" s="8"/>
      <c r="P423" s="8"/>
      <c r="Q423" s="8">
        <f ca="1">IFERROR(__xludf.DUMMYFUNCTION("""COMPUTED_VALUE"""),8)</f>
        <v>8</v>
      </c>
      <c r="R423" s="8">
        <f ca="1">IFERROR(__xludf.DUMMYFUNCTION("""COMPUTED_VALUE"""),0)</f>
        <v>0</v>
      </c>
      <c r="S423" s="8">
        <f ca="1">IFERROR(__xludf.DUMMYFUNCTION("""COMPUTED_VALUE"""),12.8)</f>
        <v>12.8</v>
      </c>
      <c r="T423" s="8">
        <f ca="1">IFERROR(__xludf.DUMMYFUNCTION("""COMPUTED_VALUE"""),12.8)</f>
        <v>12.8</v>
      </c>
      <c r="U423" s="8"/>
      <c r="V423" s="8"/>
      <c r="W423" s="8"/>
      <c r="X423" s="8"/>
      <c r="Y423" s="8"/>
      <c r="Z423" s="67" t="s">
        <v>32</v>
      </c>
      <c r="AA423" s="37" t="str">
        <f ca="1">IFERROR(__xludf.DUMMYFUNCTION("""COMPUTED_VALUE"""),"27/10/2024")</f>
        <v>27/10/2024</v>
      </c>
      <c r="AB423" s="64"/>
    </row>
    <row r="424" spans="1:28" ht="14.55" customHeight="1" x14ac:dyDescent="0.3">
      <c r="A424" s="8">
        <v>15</v>
      </c>
      <c r="B424" s="8"/>
      <c r="C424" s="8"/>
      <c r="D424" s="8" t="str">
        <f ca="1">IFERROR(__xludf.DUMMYFUNCTION("""COMPUTED_VALUE"""),"27/06/2024")</f>
        <v>27/06/2024</v>
      </c>
      <c r="E424" s="16" t="str">
        <f ca="1">IFERROR(__xludf.DUMMYFUNCTION("""COMPUTED_VALUE"""),"Player")</f>
        <v>Player</v>
      </c>
      <c r="F424" s="8" t="str">
        <f ca="1">IFERROR(__xludf.DUMMYFUNCTION("""COMPUTED_VALUE"""),"Abed, Karim")</f>
        <v>Abed, Karim</v>
      </c>
      <c r="G424" s="16" t="str">
        <f ca="1">IFERROR(__xludf.DUMMYFUNCTION("""COMPUTED_VALUE"""),"GER")</f>
        <v>GER</v>
      </c>
      <c r="H424" s="8"/>
      <c r="I424" s="8">
        <f ca="1">IFERROR(__xludf.DUMMYFUNCTION("""COMPUTED_VALUE"""),100)</f>
        <v>100</v>
      </c>
      <c r="J424" s="8"/>
      <c r="K424" s="8"/>
      <c r="L424" s="8" t="str">
        <f ca="1">IFERROR(__xludf.DUMMYFUNCTION("""COMPUTED_VALUE"""),"SK König Tegel")</f>
        <v>SK König Tegel</v>
      </c>
      <c r="M424" s="16" t="str">
        <f ca="1">IFERROR(__xludf.DUMMYFUNCTION("""COMPUTED_VALUE"""),"GER")</f>
        <v>GER</v>
      </c>
      <c r="N424" s="16" t="str">
        <f ca="1">IFERROR(__xludf.DUMMYFUNCTION("""COMPUTED_VALUE"""),"Zepter")</f>
        <v>Zepter</v>
      </c>
      <c r="O424" s="8" t="str">
        <f ca="1">IFERROR(__xludf.DUMMYFUNCTION("""COMPUTED_VALUE"""),"David Abed")</f>
        <v>David Abed</v>
      </c>
      <c r="P424" s="8">
        <f ca="1">IFERROR(__xludf.DUMMYFUNCTION("""COMPUTED_VALUE"""),82)</f>
        <v>82</v>
      </c>
      <c r="Q424" s="8">
        <f ca="1">IFERROR(__xludf.DUMMYFUNCTION("""COMPUTED_VALUE"""),8)</f>
        <v>8</v>
      </c>
      <c r="R424" s="8">
        <f ca="1">IFERROR(__xludf.DUMMYFUNCTION("""COMPUTED_VALUE"""),656)</f>
        <v>656</v>
      </c>
      <c r="S424" s="8">
        <f ca="1">IFERROR(__xludf.DUMMYFUNCTION("""COMPUTED_VALUE"""),12.8)</f>
        <v>12.8</v>
      </c>
      <c r="T424" s="8">
        <f ca="1">IFERROR(__xludf.DUMMYFUNCTION("""COMPUTED_VALUE"""),668.8)</f>
        <v>668.8</v>
      </c>
      <c r="U424" s="8"/>
      <c r="V424" s="8"/>
      <c r="W424" s="8" t="str">
        <f ca="1">IFERROR(__xludf.DUMMYFUNCTION("""COMPUTED_VALUE"""),"YES")</f>
        <v>YES</v>
      </c>
      <c r="X424" s="8"/>
      <c r="Y424" s="8"/>
      <c r="Z424" s="67" t="s">
        <v>32</v>
      </c>
      <c r="AA424" s="37" t="str">
        <f ca="1">IFERROR(__xludf.DUMMYFUNCTION("""COMPUTED_VALUE"""),"27/10/2024")</f>
        <v>27/10/2024</v>
      </c>
      <c r="AB424" s="64"/>
    </row>
    <row r="425" spans="1:28" ht="14.55" customHeight="1" x14ac:dyDescent="0.3">
      <c r="A425" s="8">
        <v>16</v>
      </c>
      <c r="B425" s="8"/>
      <c r="C425" s="8"/>
      <c r="D425" s="8" t="str">
        <f ca="1">IFERROR(__xludf.DUMMYFUNCTION("""COMPUTED_VALUE"""),"27/06/2024")</f>
        <v>27/06/2024</v>
      </c>
      <c r="E425" s="16" t="str">
        <f ca="1">IFERROR(__xludf.DUMMYFUNCTION("""COMPUTED_VALUE"""),"Player")</f>
        <v>Player</v>
      </c>
      <c r="F425" s="8" t="str">
        <f ca="1">IFERROR(__xludf.DUMMYFUNCTION("""COMPUTED_VALUE"""),"Smith, Tobias")</f>
        <v>Smith, Tobias</v>
      </c>
      <c r="G425" s="16" t="str">
        <f ca="1">IFERROR(__xludf.DUMMYFUNCTION("""COMPUTED_VALUE"""),"GER")</f>
        <v>GER</v>
      </c>
      <c r="H425" s="8"/>
      <c r="I425" s="8">
        <f ca="1">IFERROR(__xludf.DUMMYFUNCTION("""COMPUTED_VALUE"""),100)</f>
        <v>100</v>
      </c>
      <c r="J425" s="8"/>
      <c r="K425" s="8"/>
      <c r="L425" s="8" t="str">
        <f ca="1">IFERROR(__xludf.DUMMYFUNCTION("""COMPUTED_VALUE"""),"SK König Tegel")</f>
        <v>SK König Tegel</v>
      </c>
      <c r="M425" s="16" t="str">
        <f ca="1">IFERROR(__xludf.DUMMYFUNCTION("""COMPUTED_VALUE"""),"GER")</f>
        <v>GER</v>
      </c>
      <c r="N425" s="16" t="str">
        <f ca="1">IFERROR(__xludf.DUMMYFUNCTION("""COMPUTED_VALUE"""),"Zepter")</f>
        <v>Zepter</v>
      </c>
      <c r="O425" s="8" t="str">
        <f ca="1">IFERROR(__xludf.DUMMYFUNCTION("""COMPUTED_VALUE"""),"Smith Les")</f>
        <v>Smith Les</v>
      </c>
      <c r="P425" s="8">
        <f ca="1">IFERROR(__xludf.DUMMYFUNCTION("""COMPUTED_VALUE"""),82)</f>
        <v>82</v>
      </c>
      <c r="Q425" s="8">
        <f ca="1">IFERROR(__xludf.DUMMYFUNCTION("""COMPUTED_VALUE"""),8)</f>
        <v>8</v>
      </c>
      <c r="R425" s="8">
        <f ca="1">IFERROR(__xludf.DUMMYFUNCTION("""COMPUTED_VALUE"""),656)</f>
        <v>656</v>
      </c>
      <c r="S425" s="8">
        <f ca="1">IFERROR(__xludf.DUMMYFUNCTION("""COMPUTED_VALUE"""),12.8)</f>
        <v>12.8</v>
      </c>
      <c r="T425" s="8">
        <f ca="1">IFERROR(__xludf.DUMMYFUNCTION("""COMPUTED_VALUE"""),668.8)</f>
        <v>668.8</v>
      </c>
      <c r="U425" s="8"/>
      <c r="V425" s="8"/>
      <c r="W425" s="8" t="str">
        <f ca="1">IFERROR(__xludf.DUMMYFUNCTION("""COMPUTED_VALUE"""),"YES")</f>
        <v>YES</v>
      </c>
      <c r="X425" s="8"/>
      <c r="Y425" s="8"/>
      <c r="Z425" s="67" t="s">
        <v>32</v>
      </c>
      <c r="AA425" s="37" t="str">
        <f ca="1">IFERROR(__xludf.DUMMYFUNCTION("""COMPUTED_VALUE"""),"27/10/2024")</f>
        <v>27/10/2024</v>
      </c>
      <c r="AB425" s="64"/>
    </row>
    <row r="426" spans="1:28" ht="14.55" customHeight="1" x14ac:dyDescent="0.3">
      <c r="A426" s="8">
        <v>17</v>
      </c>
      <c r="B426" s="8"/>
      <c r="C426" s="8"/>
      <c r="D426" s="8" t="str">
        <f ca="1">IFERROR(__xludf.DUMMYFUNCTION("""COMPUTED_VALUE"""),"27/06/2024")</f>
        <v>27/06/2024</v>
      </c>
      <c r="E426" s="16" t="str">
        <f ca="1">IFERROR(__xludf.DUMMYFUNCTION("""COMPUTED_VALUE"""),"Player")</f>
        <v>Player</v>
      </c>
      <c r="F426" s="8" t="str">
        <f ca="1">IFERROR(__xludf.DUMMYFUNCTION("""COMPUTED_VALUE"""),"Offermann, Fernando")</f>
        <v>Offermann, Fernando</v>
      </c>
      <c r="G426" s="16" t="str">
        <f ca="1">IFERROR(__xludf.DUMMYFUNCTION("""COMPUTED_VALUE"""),"GER")</f>
        <v>GER</v>
      </c>
      <c r="H426" s="8"/>
      <c r="I426" s="8">
        <f ca="1">IFERROR(__xludf.DUMMYFUNCTION("""COMPUTED_VALUE"""),100)</f>
        <v>100</v>
      </c>
      <c r="J426" s="8"/>
      <c r="K426" s="8"/>
      <c r="L426" s="8" t="str">
        <f ca="1">IFERROR(__xludf.DUMMYFUNCTION("""COMPUTED_VALUE"""),"SK König Tegel")</f>
        <v>SK König Tegel</v>
      </c>
      <c r="M426" s="16" t="str">
        <f ca="1">IFERROR(__xludf.DUMMYFUNCTION("""COMPUTED_VALUE"""),"GER")</f>
        <v>GER</v>
      </c>
      <c r="N426" s="16" t="str">
        <f ca="1">IFERROR(__xludf.DUMMYFUNCTION("""COMPUTED_VALUE"""),"Zepter")</f>
        <v>Zepter</v>
      </c>
      <c r="O426" s="8"/>
      <c r="P426" s="8">
        <f ca="1">IFERROR(__xludf.DUMMYFUNCTION("""COMPUTED_VALUE"""),104)</f>
        <v>104</v>
      </c>
      <c r="Q426" s="8">
        <f ca="1">IFERROR(__xludf.DUMMYFUNCTION("""COMPUTED_VALUE"""),8)</f>
        <v>8</v>
      </c>
      <c r="R426" s="8">
        <f ca="1">IFERROR(__xludf.DUMMYFUNCTION("""COMPUTED_VALUE"""),832)</f>
        <v>832</v>
      </c>
      <c r="S426" s="8">
        <f ca="1">IFERROR(__xludf.DUMMYFUNCTION("""COMPUTED_VALUE"""),12.8)</f>
        <v>12.8</v>
      </c>
      <c r="T426" s="8">
        <f ca="1">IFERROR(__xludf.DUMMYFUNCTION("""COMPUTED_VALUE"""),844.8)</f>
        <v>844.8</v>
      </c>
      <c r="U426" s="8"/>
      <c r="V426" s="8"/>
      <c r="W426" s="8" t="str">
        <f ca="1">IFERROR(__xludf.DUMMYFUNCTION("""COMPUTED_VALUE"""),"YES")</f>
        <v>YES</v>
      </c>
      <c r="X426" s="8"/>
      <c r="Y426" s="8"/>
      <c r="Z426" s="67" t="s">
        <v>32</v>
      </c>
      <c r="AA426" s="37" t="str">
        <f ca="1">IFERROR(__xludf.DUMMYFUNCTION("""COMPUTED_VALUE"""),"27/10/2024")</f>
        <v>27/10/2024</v>
      </c>
      <c r="AB426" s="64"/>
    </row>
    <row r="427" spans="1:28" ht="14.55" customHeight="1" x14ac:dyDescent="0.3">
      <c r="A427" s="8">
        <v>18</v>
      </c>
      <c r="B427" s="8"/>
      <c r="C427" s="8"/>
      <c r="D427" s="8" t="str">
        <f ca="1">IFERROR(__xludf.DUMMYFUNCTION("""COMPUTED_VALUE"""),"27/06/2024")</f>
        <v>27/06/2024</v>
      </c>
      <c r="E427" s="16" t="str">
        <f ca="1">IFERROR(__xludf.DUMMYFUNCTION("""COMPUTED_VALUE"""),"Player")</f>
        <v>Player</v>
      </c>
      <c r="F427" s="8" t="str">
        <f ca="1">IFERROR(__xludf.DUMMYFUNCTION("""COMPUTED_VALUE"""),"Roth, Josef")</f>
        <v>Roth, Josef</v>
      </c>
      <c r="G427" s="16" t="str">
        <f ca="1">IFERROR(__xludf.DUMMYFUNCTION("""COMPUTED_VALUE"""),"GER")</f>
        <v>GER</v>
      </c>
      <c r="H427" s="8"/>
      <c r="I427" s="8">
        <f ca="1">IFERROR(__xludf.DUMMYFUNCTION("""COMPUTED_VALUE"""),100)</f>
        <v>100</v>
      </c>
      <c r="J427" s="8"/>
      <c r="K427" s="8"/>
      <c r="L427" s="8" t="str">
        <f ca="1">IFERROR(__xludf.DUMMYFUNCTION("""COMPUTED_VALUE"""),"SK König Tegel")</f>
        <v>SK König Tegel</v>
      </c>
      <c r="M427" s="16" t="str">
        <f ca="1">IFERROR(__xludf.DUMMYFUNCTION("""COMPUTED_VALUE"""),"GER")</f>
        <v>GER</v>
      </c>
      <c r="N427" s="16" t="str">
        <f ca="1">IFERROR(__xludf.DUMMYFUNCTION("""COMPUTED_VALUE"""),"Zepter")</f>
        <v>Zepter</v>
      </c>
      <c r="O427" s="8"/>
      <c r="P427" s="8">
        <f ca="1">IFERROR(__xludf.DUMMYFUNCTION("""COMPUTED_VALUE"""),104)</f>
        <v>104</v>
      </c>
      <c r="Q427" s="8">
        <f ca="1">IFERROR(__xludf.DUMMYFUNCTION("""COMPUTED_VALUE"""),8)</f>
        <v>8</v>
      </c>
      <c r="R427" s="8">
        <f ca="1">IFERROR(__xludf.DUMMYFUNCTION("""COMPUTED_VALUE"""),832)</f>
        <v>832</v>
      </c>
      <c r="S427" s="8">
        <f ca="1">IFERROR(__xludf.DUMMYFUNCTION("""COMPUTED_VALUE"""),12.8)</f>
        <v>12.8</v>
      </c>
      <c r="T427" s="8">
        <f ca="1">IFERROR(__xludf.DUMMYFUNCTION("""COMPUTED_VALUE"""),844.8)</f>
        <v>844.8</v>
      </c>
      <c r="U427" s="8"/>
      <c r="V427" s="8"/>
      <c r="W427" s="8" t="str">
        <f ca="1">IFERROR(__xludf.DUMMYFUNCTION("""COMPUTED_VALUE"""),"YES")</f>
        <v>YES</v>
      </c>
      <c r="X427" s="8"/>
      <c r="Y427" s="8"/>
      <c r="Z427" s="67" t="s">
        <v>32</v>
      </c>
      <c r="AA427" s="37" t="str">
        <f ca="1">IFERROR(__xludf.DUMMYFUNCTION("""COMPUTED_VALUE"""),"27/10/2024")</f>
        <v>27/10/2024</v>
      </c>
      <c r="AB427" s="64"/>
    </row>
    <row r="428" spans="1:28" ht="14.55" customHeight="1" x14ac:dyDescent="0.3">
      <c r="A428" s="8">
        <v>19</v>
      </c>
      <c r="B428" s="8"/>
      <c r="C428" s="8"/>
      <c r="D428" s="8" t="str">
        <f ca="1">IFERROR(__xludf.DUMMYFUNCTION("""COMPUTED_VALUE"""),"27/06/2024")</f>
        <v>27/06/2024</v>
      </c>
      <c r="E428" s="16" t="str">
        <f ca="1">IFERROR(__xludf.DUMMYFUNCTION("""COMPUTED_VALUE"""),"Player")</f>
        <v>Player</v>
      </c>
      <c r="F428" s="8" t="str">
        <f ca="1">IFERROR(__xludf.DUMMYFUNCTION("""COMPUTED_VALUE"""),"Abed, David")</f>
        <v>Abed, David</v>
      </c>
      <c r="G428" s="16" t="str">
        <f ca="1">IFERROR(__xludf.DUMMYFUNCTION("""COMPUTED_VALUE"""),"GER")</f>
        <v>GER</v>
      </c>
      <c r="H428" s="8"/>
      <c r="I428" s="8">
        <f ca="1">IFERROR(__xludf.DUMMYFUNCTION("""COMPUTED_VALUE"""),100)</f>
        <v>100</v>
      </c>
      <c r="J428" s="8"/>
      <c r="K428" s="8"/>
      <c r="L428" s="8" t="str">
        <f ca="1">IFERROR(__xludf.DUMMYFUNCTION("""COMPUTED_VALUE"""),"SK König Tegel")</f>
        <v>SK König Tegel</v>
      </c>
      <c r="M428" s="16" t="str">
        <f ca="1">IFERROR(__xludf.DUMMYFUNCTION("""COMPUTED_VALUE"""),"GER")</f>
        <v>GER</v>
      </c>
      <c r="N428" s="16" t="str">
        <f ca="1">IFERROR(__xludf.DUMMYFUNCTION("""COMPUTED_VALUE"""),"Zepter")</f>
        <v>Zepter</v>
      </c>
      <c r="O428" s="8" t="str">
        <f ca="1">IFERROR(__xludf.DUMMYFUNCTION("""COMPUTED_VALUE"""),"Karim Abed")</f>
        <v>Karim Abed</v>
      </c>
      <c r="P428" s="8">
        <f ca="1">IFERROR(__xludf.DUMMYFUNCTION("""COMPUTED_VALUE"""),82)</f>
        <v>82</v>
      </c>
      <c r="Q428" s="8">
        <f ca="1">IFERROR(__xludf.DUMMYFUNCTION("""COMPUTED_VALUE"""),8)</f>
        <v>8</v>
      </c>
      <c r="R428" s="8">
        <f ca="1">IFERROR(__xludf.DUMMYFUNCTION("""COMPUTED_VALUE"""),656)</f>
        <v>656</v>
      </c>
      <c r="S428" s="8">
        <f ca="1">IFERROR(__xludf.DUMMYFUNCTION("""COMPUTED_VALUE"""),12.8)</f>
        <v>12.8</v>
      </c>
      <c r="T428" s="8">
        <f ca="1">IFERROR(__xludf.DUMMYFUNCTION("""COMPUTED_VALUE"""),668.8)</f>
        <v>668.8</v>
      </c>
      <c r="U428" s="8"/>
      <c r="V428" s="8"/>
      <c r="W428" s="8" t="str">
        <f ca="1">IFERROR(__xludf.DUMMYFUNCTION("""COMPUTED_VALUE"""),"YES")</f>
        <v>YES</v>
      </c>
      <c r="X428" s="8"/>
      <c r="Y428" s="8"/>
      <c r="Z428" s="67" t="s">
        <v>32</v>
      </c>
      <c r="AA428" s="37" t="str">
        <f ca="1">IFERROR(__xludf.DUMMYFUNCTION("""COMPUTED_VALUE"""),"27/10/2024")</f>
        <v>27/10/2024</v>
      </c>
      <c r="AB428" s="64"/>
    </row>
    <row r="429" spans="1:28" ht="14.55" customHeight="1" x14ac:dyDescent="0.3">
      <c r="A429" s="8">
        <v>20</v>
      </c>
      <c r="B429" s="8"/>
      <c r="C429" s="8"/>
      <c r="D429" s="8" t="str">
        <f ca="1">IFERROR(__xludf.DUMMYFUNCTION("""COMPUTED_VALUE"""),"27/06/2024")</f>
        <v>27/06/2024</v>
      </c>
      <c r="E429" s="16" t="str">
        <f ca="1">IFERROR(__xludf.DUMMYFUNCTION("""COMPUTED_VALUE"""),"Player")</f>
        <v>Player</v>
      </c>
      <c r="F429" s="8" t="str">
        <f ca="1">IFERROR(__xludf.DUMMYFUNCTION("""COMPUTED_VALUE"""),"Dimitrijeski, Kristian")</f>
        <v>Dimitrijeski, Kristian</v>
      </c>
      <c r="G429" s="16" t="str">
        <f ca="1">IFERROR(__xludf.DUMMYFUNCTION("""COMPUTED_VALUE"""),"GER")</f>
        <v>GER</v>
      </c>
      <c r="H429" s="8"/>
      <c r="I429" s="8">
        <f ca="1">IFERROR(__xludf.DUMMYFUNCTION("""COMPUTED_VALUE"""),100)</f>
        <v>100</v>
      </c>
      <c r="J429" s="8"/>
      <c r="K429" s="8"/>
      <c r="L429" s="8" t="str">
        <f ca="1">IFERROR(__xludf.DUMMYFUNCTION("""COMPUTED_VALUE"""),"SK König Tegel")</f>
        <v>SK König Tegel</v>
      </c>
      <c r="M429" s="16" t="str">
        <f ca="1">IFERROR(__xludf.DUMMYFUNCTION("""COMPUTED_VALUE"""),"GER")</f>
        <v>GER</v>
      </c>
      <c r="N429" s="16" t="str">
        <f ca="1">IFERROR(__xludf.DUMMYFUNCTION("""COMPUTED_VALUE"""),"Zepter")</f>
        <v>Zepter</v>
      </c>
      <c r="O429" s="8"/>
      <c r="P429" s="8">
        <f ca="1">IFERROR(__xludf.DUMMYFUNCTION("""COMPUTED_VALUE"""),104)</f>
        <v>104</v>
      </c>
      <c r="Q429" s="8">
        <f ca="1">IFERROR(__xludf.DUMMYFUNCTION("""COMPUTED_VALUE"""),8)</f>
        <v>8</v>
      </c>
      <c r="R429" s="8">
        <f ca="1">IFERROR(__xludf.DUMMYFUNCTION("""COMPUTED_VALUE"""),832)</f>
        <v>832</v>
      </c>
      <c r="S429" s="8">
        <f ca="1">IFERROR(__xludf.DUMMYFUNCTION("""COMPUTED_VALUE"""),12.8)</f>
        <v>12.8</v>
      </c>
      <c r="T429" s="8">
        <f ca="1">IFERROR(__xludf.DUMMYFUNCTION("""COMPUTED_VALUE"""),844.8)</f>
        <v>844.8</v>
      </c>
      <c r="U429" s="8"/>
      <c r="V429" s="8"/>
      <c r="W429" s="8" t="str">
        <f ca="1">IFERROR(__xludf.DUMMYFUNCTION("""COMPUTED_VALUE"""),"YES")</f>
        <v>YES</v>
      </c>
      <c r="X429" s="8"/>
      <c r="Y429" s="8"/>
      <c r="Z429" s="67" t="s">
        <v>32</v>
      </c>
      <c r="AA429" s="37" t="str">
        <f ca="1">IFERROR(__xludf.DUMMYFUNCTION("""COMPUTED_VALUE"""),"27/10/2024")</f>
        <v>27/10/2024</v>
      </c>
      <c r="AB429" s="64"/>
    </row>
    <row r="430" spans="1:28" ht="14.55" customHeight="1" x14ac:dyDescent="0.3">
      <c r="A430" s="8">
        <v>21</v>
      </c>
      <c r="B430" s="8"/>
      <c r="C430" s="8"/>
      <c r="D430" s="8" t="str">
        <f ca="1">IFERROR(__xludf.DUMMYFUNCTION("""COMPUTED_VALUE"""),"27/06/2024")</f>
        <v>27/06/2024</v>
      </c>
      <c r="E430" s="16" t="s">
        <v>0</v>
      </c>
      <c r="F430" s="8" t="str">
        <f ca="1">IFERROR(__xludf.DUMMYFUNCTION("""COMPUTED_VALUE"""),"Smith, Les")</f>
        <v>Smith, Les</v>
      </c>
      <c r="G430" s="16" t="str">
        <f ca="1">IFERROR(__xludf.DUMMYFUNCTION("""COMPUTED_VALUE"""),"GER")</f>
        <v>GER</v>
      </c>
      <c r="H430" s="8"/>
      <c r="I430" s="8">
        <f ca="1">IFERROR(__xludf.DUMMYFUNCTION("""COMPUTED_VALUE"""),100)</f>
        <v>100</v>
      </c>
      <c r="J430" s="8"/>
      <c r="K430" s="8"/>
      <c r="L430" s="8" t="str">
        <f ca="1">IFERROR(__xludf.DUMMYFUNCTION("""COMPUTED_VALUE"""),"SK König Tegel")</f>
        <v>SK König Tegel</v>
      </c>
      <c r="M430" s="16" t="str">
        <f ca="1">IFERROR(__xludf.DUMMYFUNCTION("""COMPUTED_VALUE"""),"GER")</f>
        <v>GER</v>
      </c>
      <c r="N430" s="16" t="str">
        <f ca="1">IFERROR(__xludf.DUMMYFUNCTION("""COMPUTED_VALUE"""),"Zepter")</f>
        <v>Zepter</v>
      </c>
      <c r="O430" s="8" t="str">
        <f ca="1">IFERROR(__xludf.DUMMYFUNCTION("""COMPUTED_VALUE"""),"Tobias Smith")</f>
        <v>Tobias Smith</v>
      </c>
      <c r="P430" s="8">
        <f ca="1">IFERROR(__xludf.DUMMYFUNCTION("""COMPUTED_VALUE"""),82)</f>
        <v>82</v>
      </c>
      <c r="Q430" s="8">
        <f ca="1">IFERROR(__xludf.DUMMYFUNCTION("""COMPUTED_VALUE"""),8)</f>
        <v>8</v>
      </c>
      <c r="R430" s="8">
        <f ca="1">IFERROR(__xludf.DUMMYFUNCTION("""COMPUTED_VALUE"""),656)</f>
        <v>656</v>
      </c>
      <c r="S430" s="8">
        <f ca="1">IFERROR(__xludf.DUMMYFUNCTION("""COMPUTED_VALUE"""),12.8)</f>
        <v>12.8</v>
      </c>
      <c r="T430" s="8">
        <f ca="1">IFERROR(__xludf.DUMMYFUNCTION("""COMPUTED_VALUE"""),668.8)</f>
        <v>668.8</v>
      </c>
      <c r="U430" s="8"/>
      <c r="V430" s="8"/>
      <c r="W430" s="8" t="str">
        <f ca="1">IFERROR(__xludf.DUMMYFUNCTION("""COMPUTED_VALUE"""),"YES")</f>
        <v>YES</v>
      </c>
      <c r="X430" s="8"/>
      <c r="Y430" s="8"/>
      <c r="Z430" s="67" t="s">
        <v>32</v>
      </c>
      <c r="AA430" s="37" t="str">
        <f ca="1">IFERROR(__xludf.DUMMYFUNCTION("""COMPUTED_VALUE"""),"27/10/2024")</f>
        <v>27/10/2024</v>
      </c>
      <c r="AB430" s="64"/>
    </row>
    <row r="431" spans="1:28" ht="14.55" customHeight="1" x14ac:dyDescent="0.3">
      <c r="A431" s="8">
        <v>22</v>
      </c>
      <c r="B431" s="8"/>
      <c r="C431" s="8"/>
      <c r="D431" s="8" t="str">
        <f ca="1">IFERROR(__xludf.DUMMYFUNCTION("""COMPUTED_VALUE"""),"28/08/2024")</f>
        <v>28/08/2024</v>
      </c>
      <c r="E431" s="16" t="s">
        <v>0</v>
      </c>
      <c r="F431" s="8" t="str">
        <f ca="1">IFERROR(__xludf.DUMMYFUNCTION("""COMPUTED_VALUE"""),"Motylev, Alexander")</f>
        <v>Motylev, Alexander</v>
      </c>
      <c r="G431" s="8" t="str">
        <f ca="1">IFERROR(__xludf.DUMMYFUNCTION("""COMPUTED_VALUE"""),"ROU")</f>
        <v>ROU</v>
      </c>
      <c r="H431" s="8"/>
      <c r="I431" s="8">
        <f ca="1">IFERROR(__xludf.DUMMYFUNCTION("""COMPUTED_VALUE"""),100)</f>
        <v>100</v>
      </c>
      <c r="J431" s="8"/>
      <c r="K431" s="8"/>
      <c r="L431" s="8" t="str">
        <f ca="1">IFERROR(__xludf.DUMMYFUNCTION("""COMPUTED_VALUE"""),"SuperChess")</f>
        <v>SuperChess</v>
      </c>
      <c r="M431" s="8" t="str">
        <f ca="1">IFERROR(__xludf.DUMMYFUNCTION("""COMPUTED_VALUE"""),"ROU")</f>
        <v>ROU</v>
      </c>
      <c r="N431" s="16" t="str">
        <f ca="1">IFERROR(__xludf.DUMMYFUNCTION("""COMPUTED_VALUE"""),"Kocka")</f>
        <v>Kocka</v>
      </c>
      <c r="O431" s="8" t="str">
        <f ca="1">IFERROR(__xludf.DUMMYFUNCTION("""COMPUTED_VALUE"""),"Single")</f>
        <v>Single</v>
      </c>
      <c r="P431" s="8"/>
      <c r="Q431" s="8">
        <f ca="1">IFERROR(__xludf.DUMMYFUNCTION("""COMPUTED_VALUE"""),8)</f>
        <v>8</v>
      </c>
      <c r="R431" s="8">
        <f ca="1">IFERROR(__xludf.DUMMYFUNCTION("""COMPUTED_VALUE"""),832)</f>
        <v>832</v>
      </c>
      <c r="S431" s="8">
        <f ca="1">IFERROR(__xludf.DUMMYFUNCTION("""COMPUTED_VALUE"""),12.8)</f>
        <v>12.8</v>
      </c>
      <c r="T431" s="8">
        <f ca="1">IFERROR(__xludf.DUMMYFUNCTION("""COMPUTED_VALUE"""),844.8)</f>
        <v>844.8</v>
      </c>
      <c r="U431" s="8"/>
      <c r="V431" s="8"/>
      <c r="W431" s="8"/>
      <c r="X431" s="8"/>
      <c r="Y431" s="8"/>
      <c r="Z431" s="67" t="s">
        <v>32</v>
      </c>
      <c r="AA431" s="37"/>
      <c r="AB431" s="64"/>
    </row>
    <row r="432" spans="1:28" ht="14.55" customHeight="1" x14ac:dyDescent="0.3">
      <c r="A432" s="8">
        <v>23</v>
      </c>
      <c r="B432" s="8"/>
      <c r="C432" s="8"/>
      <c r="D432" s="8" t="str">
        <f ca="1">IFERROR(__xludf.DUMMYFUNCTION("""COMPUTED_VALUE"""),"31/07/2024")</f>
        <v>31/07/2024</v>
      </c>
      <c r="E432" s="16" t="str">
        <f ca="1">IFERROR(__xludf.DUMMYFUNCTION("""COMPUTED_VALUE"""),"Player")</f>
        <v>Player</v>
      </c>
      <c r="F432" s="8" t="str">
        <f ca="1">IFERROR(__xludf.DUMMYFUNCTION("""COMPUTED_VALUE"""),"Van Foreest, Lucas")</f>
        <v>Van Foreest, Lucas</v>
      </c>
      <c r="G432" s="16" t="str">
        <f ca="1">IFERROR(__xludf.DUMMYFUNCTION("""COMPUTED_VALUE"""),"NED")</f>
        <v>NED</v>
      </c>
      <c r="H432" s="8"/>
      <c r="I432" s="8">
        <f ca="1">IFERROR(__xludf.DUMMYFUNCTION("""COMPUTED_VALUE"""),100)</f>
        <v>100</v>
      </c>
      <c r="J432" s="8"/>
      <c r="K432" s="8"/>
      <c r="L432" s="8" t="str">
        <f ca="1">IFERROR(__xludf.DUMMYFUNCTION("""COMPUTED_VALUE"""),"SV Werder Bremen")</f>
        <v>SV Werder Bremen</v>
      </c>
      <c r="M432" s="16" t="str">
        <f ca="1">IFERROR(__xludf.DUMMYFUNCTION("""COMPUTED_VALUE"""),"GER")</f>
        <v>GER</v>
      </c>
      <c r="N432" s="16" t="str">
        <f ca="1">IFERROR(__xludf.DUMMYFUNCTION("""COMPUTED_VALUE"""),"Fontana")</f>
        <v>Fontana</v>
      </c>
      <c r="O432" s="8"/>
      <c r="P432" s="8">
        <f ca="1">IFERROR(__xludf.DUMMYFUNCTION("""COMPUTED_VALUE"""),104)</f>
        <v>104</v>
      </c>
      <c r="Q432" s="8">
        <f ca="1">IFERROR(__xludf.DUMMYFUNCTION("""COMPUTED_VALUE"""),8)</f>
        <v>8</v>
      </c>
      <c r="R432" s="8">
        <f ca="1">IFERROR(__xludf.DUMMYFUNCTION("""COMPUTED_VALUE"""),832)</f>
        <v>832</v>
      </c>
      <c r="S432" s="8">
        <f ca="1">IFERROR(__xludf.DUMMYFUNCTION("""COMPUTED_VALUE"""),12.8)</f>
        <v>12.8</v>
      </c>
      <c r="T432" s="8">
        <f ca="1">IFERROR(__xludf.DUMMYFUNCTION("""COMPUTED_VALUE"""),844.8)</f>
        <v>844.8</v>
      </c>
      <c r="U432" s="8"/>
      <c r="V432" s="8"/>
      <c r="W432" s="8"/>
      <c r="X432" s="8"/>
      <c r="Y432" s="8"/>
      <c r="Z432" s="67" t="s">
        <v>32</v>
      </c>
      <c r="AA432" s="37" t="str">
        <f ca="1">IFERROR(__xludf.DUMMYFUNCTION("""COMPUTED_VALUE"""),"27/10/2024")</f>
        <v>27/10/2024</v>
      </c>
      <c r="AB432" s="64"/>
    </row>
    <row r="433" spans="1:31" ht="14.55" customHeight="1" x14ac:dyDescent="0.3">
      <c r="A433" s="8">
        <v>24</v>
      </c>
      <c r="B433" s="8"/>
      <c r="C433" s="8"/>
      <c r="D433" s="8" t="str">
        <f ca="1">IFERROR(__xludf.DUMMYFUNCTION("""COMPUTED_VALUE"""),"14/08/2024")</f>
        <v>14/08/2024</v>
      </c>
      <c r="E433" s="16" t="str">
        <f ca="1">IFERROR(__xludf.DUMMYFUNCTION("""COMPUTED_VALUE"""),"Player")</f>
        <v>Player</v>
      </c>
      <c r="F433" s="8" t="str">
        <f ca="1">IFERROR(__xludf.DUMMYFUNCTION("""COMPUTED_VALUE"""),"Predke, Alexandr")</f>
        <v>Predke, Alexandr</v>
      </c>
      <c r="G433" s="16" t="str">
        <f ca="1">IFERROR(__xludf.DUMMYFUNCTION("""COMPUTED_VALUE"""),"SRB")</f>
        <v>SRB</v>
      </c>
      <c r="H433" s="8"/>
      <c r="I433" s="8">
        <f ca="1">IFERROR(__xludf.DUMMYFUNCTION("""COMPUTED_VALUE"""),100)</f>
        <v>100</v>
      </c>
      <c r="J433" s="8"/>
      <c r="K433" s="8"/>
      <c r="L433" s="8" t="str">
        <f ca="1">IFERROR(__xludf.DUMMYFUNCTION("""COMPUTED_VALUE"""),"Tajfun SK")</f>
        <v>Tajfun SK</v>
      </c>
      <c r="M433" s="16" t="str">
        <f ca="1">IFERROR(__xludf.DUMMYFUNCTION("""COMPUTED_VALUE"""),"SLO")</f>
        <v>SLO</v>
      </c>
      <c r="N433" s="16" t="str">
        <f ca="1">IFERROR(__xludf.DUMMYFUNCTION("""COMPUTED_VALUE"""),"Tonanti")</f>
        <v>Tonanti</v>
      </c>
      <c r="O433" s="8"/>
      <c r="P433" s="8">
        <f ca="1">IFERROR(__xludf.DUMMYFUNCTION("""COMPUTED_VALUE"""),108)</f>
        <v>108</v>
      </c>
      <c r="Q433" s="8">
        <f ca="1">IFERROR(__xludf.DUMMYFUNCTION("""COMPUTED_VALUE"""),8)</f>
        <v>8</v>
      </c>
      <c r="R433" s="8">
        <f ca="1">IFERROR(__xludf.DUMMYFUNCTION("""COMPUTED_VALUE"""),864)</f>
        <v>864</v>
      </c>
      <c r="S433" s="8">
        <f ca="1">IFERROR(__xludf.DUMMYFUNCTION("""COMPUTED_VALUE"""),12.8)</f>
        <v>12.8</v>
      </c>
      <c r="T433" s="8">
        <f ca="1">IFERROR(__xludf.DUMMYFUNCTION("""COMPUTED_VALUE"""),876.8)</f>
        <v>876.8</v>
      </c>
      <c r="U433" s="8"/>
      <c r="V433" s="8"/>
      <c r="W433" s="8"/>
      <c r="X433" s="8"/>
      <c r="Y433" s="8"/>
      <c r="Z433" s="67" t="s">
        <v>32</v>
      </c>
      <c r="AA433" s="37" t="str">
        <f ca="1">IFERROR(__xludf.DUMMYFUNCTION("""COMPUTED_VALUE"""),"27/10/2024")</f>
        <v>27/10/2024</v>
      </c>
      <c r="AB433" s="64"/>
    </row>
    <row r="434" spans="1:31" ht="14.55" customHeight="1" x14ac:dyDescent="0.3">
      <c r="A434" s="8">
        <v>25</v>
      </c>
      <c r="B434" s="8"/>
      <c r="C434" s="8" t="str">
        <f ca="1">IFERROR(__xludf.DUMMYFUNCTION("""COMPUTED_VALUE"""),"redosled")</f>
        <v>redosled</v>
      </c>
      <c r="D434" s="8" t="str">
        <f ca="1">IFERROR(__xludf.DUMMYFUNCTION("""COMPUTED_VALUE"""),"15/08/2024")</f>
        <v>15/08/2024</v>
      </c>
      <c r="E434" s="16" t="str">
        <f ca="1">IFERROR(__xludf.DUMMYFUNCTION("""COMPUTED_VALUE"""),"Player")</f>
        <v>Player</v>
      </c>
      <c r="F434" s="8" t="str">
        <f ca="1">IFERROR(__xludf.DUMMYFUNCTION("""COMPUTED_VALUE"""),"Shadrina, Eva")</f>
        <v>Shadrina, Eva</v>
      </c>
      <c r="G434" s="8" t="str">
        <f ca="1">IFERROR(__xludf.DUMMYFUNCTION("""COMPUTED_VALUE"""),"EST")</f>
        <v>EST</v>
      </c>
      <c r="H434" s="8"/>
      <c r="I434" s="8">
        <f ca="1">IFERROR(__xludf.DUMMYFUNCTION("""COMPUTED_VALUE"""),100)</f>
        <v>100</v>
      </c>
      <c r="J434" s="8"/>
      <c r="K434" s="8"/>
      <c r="L434" s="8" t="str">
        <f ca="1">IFERROR(__xludf.DUMMYFUNCTION("""COMPUTED_VALUE"""),"Tallinn Chess Club")</f>
        <v>Tallinn Chess Club</v>
      </c>
      <c r="M434" s="8" t="str">
        <f ca="1">IFERROR(__xludf.DUMMYFUNCTION("""COMPUTED_VALUE"""),"EST")</f>
        <v>EST</v>
      </c>
      <c r="N434" s="16" t="str">
        <f ca="1">IFERROR(__xludf.DUMMYFUNCTION("""COMPUTED_VALUE"""),"Tonanti")</f>
        <v>Tonanti</v>
      </c>
      <c r="O434" s="8" t="str">
        <f ca="1">IFERROR(__xludf.DUMMYFUNCTION("""COMPUTED_VALUE"""),"Double")</f>
        <v>Double</v>
      </c>
      <c r="P434" s="8" t="str">
        <f ca="1">IFERROR(__xludf.DUMMYFUNCTION("""COMPUTED_VALUE"""),"Gancharova, Zhanna")</f>
        <v>Gancharova, Zhanna</v>
      </c>
      <c r="Q434" s="8">
        <f ca="1">IFERROR(__xludf.DUMMYFUNCTION("""COMPUTED_VALUE"""),8)</f>
        <v>8</v>
      </c>
      <c r="R434" s="8">
        <f ca="1">IFERROR(__xludf.DUMMYFUNCTION("""COMPUTED_VALUE"""),680)</f>
        <v>680</v>
      </c>
      <c r="S434" s="8">
        <f ca="1">IFERROR(__xludf.DUMMYFUNCTION("""COMPUTED_VALUE"""),12.8)</f>
        <v>12.8</v>
      </c>
      <c r="T434" s="8">
        <f ca="1">IFERROR(__xludf.DUMMYFUNCTION("""COMPUTED_VALUE"""),692.8)</f>
        <v>692.8</v>
      </c>
      <c r="U434" s="8"/>
      <c r="V434" s="8"/>
      <c r="W434" s="8"/>
      <c r="X434" s="8"/>
      <c r="Y434" s="8"/>
      <c r="Z434" s="37" t="str">
        <f ca="1">IFERROR(__xludf.DUMMYFUNCTION("""COMPUTED_VALUE"""),"AZ7083")</f>
        <v>AZ7083</v>
      </c>
      <c r="AA434" s="37" t="str">
        <f ca="1">IFERROR(__xludf.DUMMYFUNCTION("""COMPUTED_VALUE"""),"27/10/2024")</f>
        <v>27/10/2024</v>
      </c>
      <c r="AB434" s="64">
        <f ca="1">IFERROR(__xludf.DUMMYFUNCTION("""COMPUTED_VALUE"""),0.75)</f>
        <v>0.75</v>
      </c>
    </row>
    <row r="435" spans="1:31" ht="14.55" customHeight="1" x14ac:dyDescent="0.3">
      <c r="A435" s="8">
        <v>26</v>
      </c>
      <c r="B435" s="8"/>
      <c r="C435" s="8"/>
      <c r="D435" s="8" t="str">
        <f ca="1">IFERROR(__xludf.DUMMYFUNCTION("""COMPUTED_VALUE"""),"15/08/2024")</f>
        <v>15/08/2024</v>
      </c>
      <c r="E435" s="16" t="s">
        <v>0</v>
      </c>
      <c r="F435" s="8" t="str">
        <f ca="1">IFERROR(__xludf.DUMMYFUNCTION("""COMPUTED_VALUE"""),"Gancharova, Zhanna")</f>
        <v>Gancharova, Zhanna</v>
      </c>
      <c r="G435" s="8" t="str">
        <f ca="1">IFERROR(__xludf.DUMMYFUNCTION("""COMPUTED_VALUE"""),"EST")</f>
        <v>EST</v>
      </c>
      <c r="H435" s="8"/>
      <c r="I435" s="8">
        <f ca="1">IFERROR(__xludf.DUMMYFUNCTION("""COMPUTED_VALUE"""),100)</f>
        <v>100</v>
      </c>
      <c r="J435" s="8"/>
      <c r="K435" s="8"/>
      <c r="L435" s="8" t="str">
        <f ca="1">IFERROR(__xludf.DUMMYFUNCTION("""COMPUTED_VALUE"""),"Tallinn Chess Club")</f>
        <v>Tallinn Chess Club</v>
      </c>
      <c r="M435" s="8" t="str">
        <f ca="1">IFERROR(__xludf.DUMMYFUNCTION("""COMPUTED_VALUE"""),"EST")</f>
        <v>EST</v>
      </c>
      <c r="N435" s="16" t="str">
        <f ca="1">IFERROR(__xludf.DUMMYFUNCTION("""COMPUTED_VALUE"""),"Tonanti")</f>
        <v>Tonanti</v>
      </c>
      <c r="O435" s="8" t="str">
        <f ca="1">IFERROR(__xludf.DUMMYFUNCTION("""COMPUTED_VALUE"""),"Double")</f>
        <v>Double</v>
      </c>
      <c r="P435" s="8" t="str">
        <f ca="1">IFERROR(__xludf.DUMMYFUNCTION("""COMPUTED_VALUE"""),"Shadrina, Eva")</f>
        <v>Shadrina, Eva</v>
      </c>
      <c r="Q435" s="8">
        <f ca="1">IFERROR(__xludf.DUMMYFUNCTION("""COMPUTED_VALUE"""),8)</f>
        <v>8</v>
      </c>
      <c r="R435" s="8">
        <f ca="1">IFERROR(__xludf.DUMMYFUNCTION("""COMPUTED_VALUE"""),680)</f>
        <v>680</v>
      </c>
      <c r="S435" s="8">
        <f ca="1">IFERROR(__xludf.DUMMYFUNCTION("""COMPUTED_VALUE"""),12.8)</f>
        <v>12.8</v>
      </c>
      <c r="T435" s="8">
        <f ca="1">IFERROR(__xludf.DUMMYFUNCTION("""COMPUTED_VALUE"""),692.8)</f>
        <v>692.8</v>
      </c>
      <c r="U435" s="8"/>
      <c r="V435" s="8"/>
      <c r="W435" s="8"/>
      <c r="X435" s="8"/>
      <c r="Y435" s="8"/>
      <c r="Z435" s="37" t="str">
        <f ca="1">IFERROR(__xludf.DUMMYFUNCTION("""COMPUTED_VALUE"""),"AZ7083")</f>
        <v>AZ7083</v>
      </c>
      <c r="AA435" s="37" t="str">
        <f ca="1">IFERROR(__xludf.DUMMYFUNCTION("""COMPUTED_VALUE"""),"27/10/2024")</f>
        <v>27/10/2024</v>
      </c>
      <c r="AB435" s="64">
        <f ca="1">IFERROR(__xludf.DUMMYFUNCTION("""COMPUTED_VALUE"""),0.75)</f>
        <v>0.75</v>
      </c>
    </row>
    <row r="436" spans="1:31" ht="14.55" customHeight="1" x14ac:dyDescent="0.3">
      <c r="A436" s="8">
        <v>27</v>
      </c>
      <c r="B436" s="8"/>
      <c r="C436" s="8"/>
      <c r="D436" s="8" t="str">
        <f ca="1">IFERROR(__xludf.DUMMYFUNCTION("""COMPUTED_VALUE"""),"15/08/2024")</f>
        <v>15/08/2024</v>
      </c>
      <c r="E436" s="16" t="str">
        <f ca="1">IFERROR(__xludf.DUMMYFUNCTION("""COMPUTED_VALUE"""),"Player")</f>
        <v>Player</v>
      </c>
      <c r="F436" s="8" t="str">
        <f ca="1">IFERROR(__xludf.DUMMYFUNCTION("""COMPUTED_VALUE"""),"Murzin, Volodar")</f>
        <v>Murzin, Volodar</v>
      </c>
      <c r="G436" s="16" t="str">
        <f ca="1">IFERROR(__xludf.DUMMYFUNCTION("""COMPUTED_VALUE"""),"FID")</f>
        <v>FID</v>
      </c>
      <c r="H436" s="8"/>
      <c r="I436" s="8">
        <f ca="1">IFERROR(__xludf.DUMMYFUNCTION("""COMPUTED_VALUE"""),100)</f>
        <v>100</v>
      </c>
      <c r="J436" s="8"/>
      <c r="K436" s="8"/>
      <c r="L436" s="8" t="str">
        <f ca="1">IFERROR(__xludf.DUMMYFUNCTION("""COMPUTED_VALUE"""),"Turkish Airlines")</f>
        <v>Turkish Airlines</v>
      </c>
      <c r="M436" s="16" t="str">
        <f ca="1">IFERROR(__xludf.DUMMYFUNCTION("""COMPUTED_VALUE"""),"TUR")</f>
        <v>TUR</v>
      </c>
      <c r="N436" s="16" t="str">
        <f ca="1">IFERROR(__xludf.DUMMYFUNCTION("""COMPUTED_VALUE"""),"Terme")</f>
        <v>Terme</v>
      </c>
      <c r="O436" s="8"/>
      <c r="P436" s="8">
        <f ca="1">IFERROR(__xludf.DUMMYFUNCTION("""COMPUTED_VALUE"""),82)</f>
        <v>82</v>
      </c>
      <c r="Q436" s="8">
        <f ca="1">IFERROR(__xludf.DUMMYFUNCTION("""COMPUTED_VALUE"""),8)</f>
        <v>8</v>
      </c>
      <c r="R436" s="8">
        <f ca="1">IFERROR(__xludf.DUMMYFUNCTION("""COMPUTED_VALUE"""),656)</f>
        <v>656</v>
      </c>
      <c r="S436" s="8">
        <f ca="1">IFERROR(__xludf.DUMMYFUNCTION("""COMPUTED_VALUE"""),12.8)</f>
        <v>12.8</v>
      </c>
      <c r="T436" s="8">
        <f ca="1">IFERROR(__xludf.DUMMYFUNCTION("""COMPUTED_VALUE"""),668.8)</f>
        <v>668.8</v>
      </c>
      <c r="U436" s="8"/>
      <c r="V436" s="8"/>
      <c r="W436" s="8"/>
      <c r="X436" s="8"/>
      <c r="Y436" s="8"/>
      <c r="Z436" s="67" t="s">
        <v>32</v>
      </c>
      <c r="AA436" s="37" t="str">
        <f ca="1">IFERROR(__xludf.DUMMYFUNCTION("""COMPUTED_VALUE"""),"27/10/2024")</f>
        <v>27/10/2024</v>
      </c>
      <c r="AB436" s="64"/>
    </row>
    <row r="437" spans="1:31" ht="14.55" customHeight="1" x14ac:dyDescent="0.3">
      <c r="A437" s="8">
        <v>28</v>
      </c>
      <c r="B437" s="8"/>
      <c r="C437" s="8"/>
      <c r="D437" s="8" t="str">
        <f ca="1">IFERROR(__xludf.DUMMYFUNCTION("""COMPUTED_VALUE"""),"15/08/2024")</f>
        <v>15/08/2024</v>
      </c>
      <c r="E437" s="16" t="s">
        <v>0</v>
      </c>
      <c r="F437" s="8" t="str">
        <f ca="1">IFERROR(__xludf.DUMMYFUNCTION("""COMPUTED_VALUE"""),"Murzin, Ekaterina")</f>
        <v>Murzin, Ekaterina</v>
      </c>
      <c r="G437" s="16" t="str">
        <f ca="1">IFERROR(__xludf.DUMMYFUNCTION("""COMPUTED_VALUE"""),"FID")</f>
        <v>FID</v>
      </c>
      <c r="H437" s="8"/>
      <c r="I437" s="8">
        <f ca="1">IFERROR(__xludf.DUMMYFUNCTION("""COMPUTED_VALUE"""),100)</f>
        <v>100</v>
      </c>
      <c r="J437" s="8"/>
      <c r="K437" s="8"/>
      <c r="L437" s="8" t="str">
        <f ca="1">IFERROR(__xludf.DUMMYFUNCTION("""COMPUTED_VALUE"""),"Turkish Airlines")</f>
        <v>Turkish Airlines</v>
      </c>
      <c r="M437" s="16" t="str">
        <f ca="1">IFERROR(__xludf.DUMMYFUNCTION("""COMPUTED_VALUE"""),"TUR")</f>
        <v>TUR</v>
      </c>
      <c r="N437" s="16" t="str">
        <f ca="1">IFERROR(__xludf.DUMMYFUNCTION("""COMPUTED_VALUE"""),"Terme")</f>
        <v>Terme</v>
      </c>
      <c r="O437" s="8"/>
      <c r="P437" s="8">
        <f ca="1">IFERROR(__xludf.DUMMYFUNCTION("""COMPUTED_VALUE"""),82)</f>
        <v>82</v>
      </c>
      <c r="Q437" s="8">
        <f ca="1">IFERROR(__xludf.DUMMYFUNCTION("""COMPUTED_VALUE"""),8)</f>
        <v>8</v>
      </c>
      <c r="R437" s="8">
        <f ca="1">IFERROR(__xludf.DUMMYFUNCTION("""COMPUTED_VALUE"""),656)</f>
        <v>656</v>
      </c>
      <c r="S437" s="8">
        <f ca="1">IFERROR(__xludf.DUMMYFUNCTION("""COMPUTED_VALUE"""),12.8)</f>
        <v>12.8</v>
      </c>
      <c r="T437" s="8">
        <f ca="1">IFERROR(__xludf.DUMMYFUNCTION("""COMPUTED_VALUE"""),668.8)</f>
        <v>668.8</v>
      </c>
      <c r="U437" s="8"/>
      <c r="V437" s="8"/>
      <c r="W437" s="8"/>
      <c r="X437" s="8"/>
      <c r="Y437" s="8"/>
      <c r="Z437" s="67" t="s">
        <v>32</v>
      </c>
      <c r="AA437" s="37" t="str">
        <f ca="1">IFERROR(__xludf.DUMMYFUNCTION("""COMPUTED_VALUE"""),"27/10/2024")</f>
        <v>27/10/2024</v>
      </c>
      <c r="AB437" s="64"/>
    </row>
    <row r="438" spans="1:31" ht="14.55" customHeight="1" x14ac:dyDescent="0.3">
      <c r="A438" s="8">
        <v>29</v>
      </c>
      <c r="B438" s="8"/>
      <c r="C438" s="8"/>
      <c r="D438" s="8" t="str">
        <f ca="1">IFERROR(__xludf.DUMMYFUNCTION("""COMPUTED_VALUE"""),"15/08/2024")</f>
        <v>15/08/2024</v>
      </c>
      <c r="E438" s="16" t="s">
        <v>0</v>
      </c>
      <c r="F438" s="8" t="s">
        <v>9</v>
      </c>
      <c r="G438" s="16"/>
      <c r="H438" s="8"/>
      <c r="I438" s="8"/>
      <c r="J438" s="8"/>
      <c r="K438" s="8"/>
      <c r="L438" s="8" t="str">
        <f ca="1">IFERROR(__xludf.DUMMYFUNCTION("""COMPUTED_VALUE"""),"Turkish Airlines")</f>
        <v>Turkish Airlines</v>
      </c>
      <c r="M438" s="16"/>
      <c r="N438" s="16"/>
      <c r="O438" s="8"/>
      <c r="P438" s="8"/>
      <c r="Q438" s="8"/>
      <c r="R438" s="8"/>
      <c r="S438" s="8"/>
      <c r="T438" s="8"/>
      <c r="U438" s="8"/>
      <c r="V438" s="8"/>
      <c r="W438" s="8"/>
      <c r="X438" s="8"/>
      <c r="Y438" s="8"/>
      <c r="Z438" s="67" t="s">
        <v>32</v>
      </c>
      <c r="AA438" s="37" t="str">
        <f ca="1">IFERROR(__xludf.DUMMYFUNCTION("""COMPUTED_VALUE"""),"27/10/2024")</f>
        <v>27/10/2024</v>
      </c>
      <c r="AB438" s="64"/>
    </row>
    <row r="439" spans="1:31" ht="14.55" customHeight="1" x14ac:dyDescent="0.3">
      <c r="A439" s="8">
        <v>30</v>
      </c>
      <c r="B439" s="8"/>
      <c r="C439" s="8"/>
      <c r="D439" s="8" t="str">
        <f ca="1">IFERROR(__xludf.DUMMYFUNCTION("""COMPUTED_VALUE"""),"14/08/2024")</f>
        <v>14/08/2024</v>
      </c>
      <c r="E439" s="16" t="str">
        <f ca="1">IFERROR(__xludf.DUMMYFUNCTION("""COMPUTED_VALUE"""),"Player")</f>
        <v>Player</v>
      </c>
      <c r="F439" s="8" t="str">
        <f ca="1">IFERROR(__xludf.DUMMYFUNCTION("""COMPUTED_VALUE"""),"Chigaev, Maksim")</f>
        <v>Chigaev, Maksim</v>
      </c>
      <c r="G439" s="16" t="str">
        <f ca="1">IFERROR(__xludf.DUMMYFUNCTION("""COMPUTED_VALUE"""),"ESP")</f>
        <v>ESP</v>
      </c>
      <c r="H439" s="8"/>
      <c r="I439" s="8">
        <f ca="1">IFERROR(__xludf.DUMMYFUNCTION("""COMPUTED_VALUE"""),100)</f>
        <v>100</v>
      </c>
      <c r="J439" s="8"/>
      <c r="K439" s="8"/>
      <c r="L439" s="8" t="str">
        <f ca="1">IFERROR(__xludf.DUMMYFUNCTION("""COMPUTED_VALUE"""),"Tuxera-Aquaprofit Nagykanizsa")</f>
        <v>Tuxera-Aquaprofit Nagykanizsa</v>
      </c>
      <c r="M439" s="16" t="str">
        <f ca="1">IFERROR(__xludf.DUMMYFUNCTION("""COMPUTED_VALUE"""),"HUN")</f>
        <v>HUN</v>
      </c>
      <c r="N439" s="16" t="str">
        <f ca="1">IFERROR(__xludf.DUMMYFUNCTION("""COMPUTED_VALUE"""),"Zepter")</f>
        <v>Zepter</v>
      </c>
      <c r="O439" s="8"/>
      <c r="P439" s="8">
        <f ca="1">IFERROR(__xludf.DUMMYFUNCTION("""COMPUTED_VALUE"""),104)</f>
        <v>104</v>
      </c>
      <c r="Q439" s="8">
        <f ca="1">IFERROR(__xludf.DUMMYFUNCTION("""COMPUTED_VALUE"""),8)</f>
        <v>8</v>
      </c>
      <c r="R439" s="8">
        <f ca="1">IFERROR(__xludf.DUMMYFUNCTION("""COMPUTED_VALUE"""),832)</f>
        <v>832</v>
      </c>
      <c r="S439" s="8">
        <f ca="1">IFERROR(__xludf.DUMMYFUNCTION("""COMPUTED_VALUE"""),12.8)</f>
        <v>12.8</v>
      </c>
      <c r="T439" s="8">
        <f ca="1">IFERROR(__xludf.DUMMYFUNCTION("""COMPUTED_VALUE"""),844.8)</f>
        <v>844.8</v>
      </c>
      <c r="U439" s="8"/>
      <c r="V439" s="8"/>
      <c r="W439" s="8"/>
      <c r="X439" s="8" t="str">
        <f ca="1">IFERROR(__xludf.DUMMYFUNCTION("""COMPUTED_VALUE"""),"Fontana ili Tonanti")</f>
        <v>Fontana ili Tonanti</v>
      </c>
      <c r="Y439" s="8"/>
      <c r="Z439" s="67" t="s">
        <v>32</v>
      </c>
      <c r="AA439" s="37" t="str">
        <f ca="1">IFERROR(__xludf.DUMMYFUNCTION("""COMPUTED_VALUE"""),"27/10/2024")</f>
        <v>27/10/2024</v>
      </c>
      <c r="AB439" s="64"/>
    </row>
    <row r="440" spans="1:31" ht="14.55" customHeight="1" x14ac:dyDescent="0.3">
      <c r="A440" s="8">
        <v>31</v>
      </c>
      <c r="B440" s="8"/>
      <c r="C440" s="8"/>
      <c r="D440" s="8" t="str">
        <f ca="1">IFERROR(__xludf.DUMMYFUNCTION("""COMPUTED_VALUE"""),"14/08/2024")</f>
        <v>14/08/2024</v>
      </c>
      <c r="E440" s="16" t="str">
        <f ca="1">IFERROR(__xludf.DUMMYFUNCTION("""COMPUTED_VALUE"""),"Player")</f>
        <v>Player</v>
      </c>
      <c r="F440" s="8" t="str">
        <f ca="1">IFERROR(__xludf.DUMMYFUNCTION("""COMPUTED_VALUE"""),"Wenzel, Birger")</f>
        <v>Wenzel, Birger</v>
      </c>
      <c r="G440" s="16" t="str">
        <f ca="1">IFERROR(__xludf.DUMMYFUNCTION("""COMPUTED_VALUE"""),"GER")</f>
        <v>GER</v>
      </c>
      <c r="H440" s="8"/>
      <c r="I440" s="8">
        <f ca="1">IFERROR(__xludf.DUMMYFUNCTION("""COMPUTED_VALUE"""),100)</f>
        <v>100</v>
      </c>
      <c r="J440" s="8"/>
      <c r="K440" s="8"/>
      <c r="L440" s="8" t="str">
        <f ca="1">IFERROR(__xludf.DUMMYFUNCTION("""COMPUTED_VALUE"""),"Wasa SK")</f>
        <v>Wasa SK</v>
      </c>
      <c r="M440" s="16" t="str">
        <f ca="1">IFERROR(__xludf.DUMMYFUNCTION("""COMPUTED_VALUE"""),"SWE")</f>
        <v>SWE</v>
      </c>
      <c r="N440" s="16" t="str">
        <f ca="1">IFERROR(__xludf.DUMMYFUNCTION("""COMPUTED_VALUE"""),"Zepter")</f>
        <v>Zepter</v>
      </c>
      <c r="O440" s="8"/>
      <c r="P440" s="8">
        <f ca="1">IFERROR(__xludf.DUMMYFUNCTION("""COMPUTED_VALUE"""),104)</f>
        <v>104</v>
      </c>
      <c r="Q440" s="8">
        <f ca="1">IFERROR(__xludf.DUMMYFUNCTION("""COMPUTED_VALUE"""),8)</f>
        <v>8</v>
      </c>
      <c r="R440" s="8">
        <f ca="1">IFERROR(__xludf.DUMMYFUNCTION("""COMPUTED_VALUE"""),832)</f>
        <v>832</v>
      </c>
      <c r="S440" s="8">
        <f ca="1">IFERROR(__xludf.DUMMYFUNCTION("""COMPUTED_VALUE"""),12.8)</f>
        <v>12.8</v>
      </c>
      <c r="T440" s="8">
        <f ca="1">IFERROR(__xludf.DUMMYFUNCTION("""COMPUTED_VALUE"""),844.8)</f>
        <v>844.8</v>
      </c>
      <c r="U440" s="8"/>
      <c r="V440" s="8"/>
      <c r="W440" s="8"/>
      <c r="X440" s="8" t="str">
        <f ca="1">IFERROR(__xludf.DUMMYFUNCTION("""COMPUTED_VALUE"""),"Tonanti ili Fontana")</f>
        <v>Tonanti ili Fontana</v>
      </c>
      <c r="Y440" s="8"/>
      <c r="Z440" s="67" t="s">
        <v>32</v>
      </c>
      <c r="AA440" s="37" t="str">
        <f ca="1">IFERROR(__xludf.DUMMYFUNCTION("""COMPUTED_VALUE"""),"27/10/2024")</f>
        <v>27/10/2024</v>
      </c>
      <c r="AB440" s="64"/>
    </row>
    <row r="441" spans="1:31" ht="14.55" customHeight="1" x14ac:dyDescent="0.3">
      <c r="A441" s="8">
        <v>32</v>
      </c>
      <c r="B441" s="8"/>
      <c r="C441" s="8"/>
      <c r="D441" s="8" t="str">
        <f ca="1">IFERROR(__xludf.DUMMYFUNCTION("""COMPUTED_VALUE"""),"19/08/2024")</f>
        <v>19/08/2024</v>
      </c>
      <c r="E441" s="16" t="str">
        <f ca="1">IFERROR(__xludf.DUMMYFUNCTION("""COMPUTED_VALUE"""),"Player")</f>
        <v>Player</v>
      </c>
      <c r="F441" s="8" t="str">
        <f ca="1">IFERROR(__xludf.DUMMYFUNCTION("""COMPUTED_VALUE"""),"Bryakin, Mikhail")</f>
        <v>Bryakin, Mikhail</v>
      </c>
      <c r="G441" s="16" t="str">
        <f ca="1">IFERROR(__xludf.DUMMYFUNCTION("""COMPUTED_VALUE"""),"SRB")</f>
        <v>SRB</v>
      </c>
      <c r="H441" s="8"/>
      <c r="I441" s="8">
        <f ca="1">IFERROR(__xludf.DUMMYFUNCTION("""COMPUTED_VALUE"""),100)</f>
        <v>100</v>
      </c>
      <c r="J441" s="8"/>
      <c r="K441" s="8"/>
      <c r="L441" s="8" t="str">
        <f ca="1">IFERROR(__xludf.DUMMYFUNCTION("""COMPUTED_VALUE"""),"Zmaj")</f>
        <v>Zmaj</v>
      </c>
      <c r="M441" s="16" t="str">
        <f ca="1">IFERROR(__xludf.DUMMYFUNCTION("""COMPUTED_VALUE"""),"SRB")</f>
        <v>SRB</v>
      </c>
      <c r="N441" s="16" t="str">
        <f ca="1">IFERROR(__xludf.DUMMYFUNCTION("""COMPUTED_VALUE"""),"Terme")</f>
        <v>Terme</v>
      </c>
      <c r="O441" s="8" t="str">
        <f ca="1">IFERROR(__xludf.DUMMYFUNCTION("""COMPUTED_VALUE"""),"Srdanovic CZ zene?")</f>
        <v>Srdanovic CZ zene?</v>
      </c>
      <c r="P441" s="8"/>
      <c r="Q441" s="8">
        <f ca="1">IFERROR(__xludf.DUMMYFUNCTION("""COMPUTED_VALUE"""),8)</f>
        <v>8</v>
      </c>
      <c r="R441" s="8">
        <f ca="1">IFERROR(__xludf.DUMMYFUNCTION("""COMPUTED_VALUE"""),0)</f>
        <v>0</v>
      </c>
      <c r="S441" s="8">
        <f ca="1">IFERROR(__xludf.DUMMYFUNCTION("""COMPUTED_VALUE"""),12.8)</f>
        <v>12.8</v>
      </c>
      <c r="T441" s="8">
        <f ca="1">IFERROR(__xludf.DUMMYFUNCTION("""COMPUTED_VALUE"""),12.8)</f>
        <v>12.8</v>
      </c>
      <c r="U441" s="8"/>
      <c r="V441" s="8"/>
      <c r="W441" s="8"/>
      <c r="X441" s="8"/>
      <c r="Y441" s="8"/>
      <c r="Z441" s="67" t="s">
        <v>32</v>
      </c>
      <c r="AA441" s="37" t="str">
        <f ca="1">IFERROR(__xludf.DUMMYFUNCTION("""COMPUTED_VALUE"""),"27/10/2024")</f>
        <v>27/10/2024</v>
      </c>
      <c r="AB441" s="64"/>
    </row>
    <row r="442" spans="1:31" ht="14.55" customHeight="1" x14ac:dyDescent="0.3">
      <c r="A442" s="8">
        <v>33</v>
      </c>
      <c r="B442" s="8"/>
      <c r="C442" s="8"/>
      <c r="D442" s="8" t="str">
        <f ca="1">IFERROR(__xludf.DUMMYFUNCTION("""COMPUTED_VALUE"""),"19/08/2024")</f>
        <v>19/08/2024</v>
      </c>
      <c r="E442" s="16" t="str">
        <f ca="1">IFERROR(__xludf.DUMMYFUNCTION("""COMPUTED_VALUE"""),"Player")</f>
        <v>Player</v>
      </c>
      <c r="F442" s="8" t="str">
        <f ca="1">IFERROR(__xludf.DUMMYFUNCTION("""COMPUTED_VALUE"""),"Radovanovic, Mihajlo")</f>
        <v>Radovanovic, Mihajlo</v>
      </c>
      <c r="G442" s="16" t="str">
        <f ca="1">IFERROR(__xludf.DUMMYFUNCTION("""COMPUTED_VALUE"""),"SRB")</f>
        <v>SRB</v>
      </c>
      <c r="H442" s="8"/>
      <c r="I442" s="8">
        <f ca="1">IFERROR(__xludf.DUMMYFUNCTION("""COMPUTED_VALUE"""),100)</f>
        <v>100</v>
      </c>
      <c r="J442" s="8"/>
      <c r="K442" s="8"/>
      <c r="L442" s="8" t="str">
        <f ca="1">IFERROR(__xludf.DUMMYFUNCTION("""COMPUTED_VALUE"""),"Zmaj")</f>
        <v>Zmaj</v>
      </c>
      <c r="M442" s="16" t="str">
        <f ca="1">IFERROR(__xludf.DUMMYFUNCTION("""COMPUTED_VALUE"""),"SRB")</f>
        <v>SRB</v>
      </c>
      <c r="N442" s="16" t="str">
        <f ca="1">IFERROR(__xludf.DUMMYFUNCTION("""COMPUTED_VALUE"""),"Terme")</f>
        <v>Terme</v>
      </c>
      <c r="O442" s="8" t="str">
        <f ca="1">IFERROR(__xludf.DUMMYFUNCTION("""COMPUTED_VALUE"""),"Lukovic")</f>
        <v>Lukovic</v>
      </c>
      <c r="P442" s="8"/>
      <c r="Q442" s="8">
        <f ca="1">IFERROR(__xludf.DUMMYFUNCTION("""COMPUTED_VALUE"""),8)</f>
        <v>8</v>
      </c>
      <c r="R442" s="8">
        <f ca="1">IFERROR(__xludf.DUMMYFUNCTION("""COMPUTED_VALUE"""),0)</f>
        <v>0</v>
      </c>
      <c r="S442" s="8">
        <f ca="1">IFERROR(__xludf.DUMMYFUNCTION("""COMPUTED_VALUE"""),12.8)</f>
        <v>12.8</v>
      </c>
      <c r="T442" s="8">
        <f ca="1">IFERROR(__xludf.DUMMYFUNCTION("""COMPUTED_VALUE"""),12.8)</f>
        <v>12.8</v>
      </c>
      <c r="U442" s="8"/>
      <c r="V442" s="8"/>
      <c r="W442" s="8"/>
      <c r="X442" s="8"/>
      <c r="Y442" s="8"/>
      <c r="Z442" s="67" t="s">
        <v>32</v>
      </c>
      <c r="AA442" s="37" t="str">
        <f ca="1">IFERROR(__xludf.DUMMYFUNCTION("""COMPUTED_VALUE"""),"27/10/2024")</f>
        <v>27/10/2024</v>
      </c>
      <c r="AB442" s="64"/>
    </row>
    <row r="443" spans="1:31" ht="14.55" customHeight="1" x14ac:dyDescent="0.3">
      <c r="A443" s="8">
        <v>34</v>
      </c>
      <c r="B443" s="8"/>
      <c r="C443" s="8"/>
      <c r="D443" s="8" t="str">
        <f ca="1">IFERROR(__xludf.DUMMYFUNCTION("""COMPUTED_VALUE"""),"29/08/2024")</f>
        <v>29/08/2024</v>
      </c>
      <c r="E443" s="16" t="str">
        <f ca="1">IFERROR(__xludf.DUMMYFUNCTION("""COMPUTED_VALUE"""),"Player")</f>
        <v>Player</v>
      </c>
      <c r="F443" s="8" t="s">
        <v>13</v>
      </c>
      <c r="G443" s="8" t="str">
        <f ca="1">IFERROR(__xludf.DUMMYFUNCTION("""COMPUTED_VALUE"""),"SRB")</f>
        <v>SRB</v>
      </c>
      <c r="H443" s="8"/>
      <c r="I443" s="8">
        <f ca="1">IFERROR(__xludf.DUMMYFUNCTION("""COMPUTED_VALUE"""),100)</f>
        <v>100</v>
      </c>
      <c r="J443" s="8"/>
      <c r="K443" s="8"/>
      <c r="L443" s="8" t="str">
        <f ca="1">IFERROR(__xludf.DUMMYFUNCTION("""COMPUTED_VALUE"""),"Zmaj")</f>
        <v>Zmaj</v>
      </c>
      <c r="M443" s="8" t="str">
        <f ca="1">IFERROR(__xludf.DUMMYFUNCTION("""COMPUTED_VALUE"""),"SRB")</f>
        <v>SRB</v>
      </c>
      <c r="N443" s="16" t="str">
        <f ca="1">IFERROR(__xludf.DUMMYFUNCTION("""COMPUTED_VALUE"""),"Terme")</f>
        <v>Terme</v>
      </c>
      <c r="O443" s="8" t="str">
        <f ca="1">IFERROR(__xludf.DUMMYFUNCTION("""COMPUTED_VALUE"""),"Double")</f>
        <v>Double</v>
      </c>
      <c r="P443" s="8" t="str">
        <f ca="1">IFERROR(__xludf.DUMMYFUNCTION("""COMPUTED_VALUE"""),"Simonovic V.")</f>
        <v>Simonovic V.</v>
      </c>
      <c r="Q443" s="8">
        <f ca="1">IFERROR(__xludf.DUMMYFUNCTION("""COMPUTED_VALUE"""),8)</f>
        <v>8</v>
      </c>
      <c r="R443" s="8">
        <f ca="1">IFERROR(__xludf.DUMMYFUNCTION("""COMPUTED_VALUE"""),0)</f>
        <v>0</v>
      </c>
      <c r="S443" s="8">
        <f ca="1">IFERROR(__xludf.DUMMYFUNCTION("""COMPUTED_VALUE"""),12.8)</f>
        <v>12.8</v>
      </c>
      <c r="T443" s="8">
        <f ca="1">IFERROR(__xludf.DUMMYFUNCTION("""COMPUTED_VALUE"""),12.8)</f>
        <v>12.8</v>
      </c>
      <c r="U443" s="8"/>
      <c r="V443" s="8"/>
      <c r="W443" s="8"/>
      <c r="X443" s="8"/>
      <c r="Y443" s="8"/>
      <c r="Z443" s="67" t="s">
        <v>32</v>
      </c>
      <c r="AA443" s="37" t="str">
        <f ca="1">IFERROR(__xludf.DUMMYFUNCTION("""COMPUTED_VALUE"""),"27/10/2024")</f>
        <v>27/10/2024</v>
      </c>
      <c r="AB443" s="64"/>
    </row>
    <row r="444" spans="1:31" ht="14.55" customHeight="1" x14ac:dyDescent="0.3">
      <c r="A444" s="8">
        <v>35</v>
      </c>
      <c r="B444" s="8"/>
      <c r="C444" s="8"/>
      <c r="D444" s="8" t="str">
        <f ca="1">IFERROR(__xludf.DUMMYFUNCTION("""COMPUTED_VALUE"""),"29/08/2024")</f>
        <v>29/08/2024</v>
      </c>
      <c r="E444" s="16" t="str">
        <f ca="1">IFERROR(__xludf.DUMMYFUNCTION("""COMPUTED_VALUE"""),"Player")</f>
        <v>Player</v>
      </c>
      <c r="F444" s="8" t="s">
        <v>14</v>
      </c>
      <c r="G444" s="8" t="str">
        <f ca="1">IFERROR(__xludf.DUMMYFUNCTION("""COMPUTED_VALUE"""),"SRB")</f>
        <v>SRB</v>
      </c>
      <c r="H444" s="8"/>
      <c r="I444" s="8">
        <f ca="1">IFERROR(__xludf.DUMMYFUNCTION("""COMPUTED_VALUE"""),100)</f>
        <v>100</v>
      </c>
      <c r="J444" s="8"/>
      <c r="K444" s="8"/>
      <c r="L444" s="8" t="str">
        <f ca="1">IFERROR(__xludf.DUMMYFUNCTION("""COMPUTED_VALUE"""),"Zmaj")</f>
        <v>Zmaj</v>
      </c>
      <c r="M444" s="8" t="str">
        <f ca="1">IFERROR(__xludf.DUMMYFUNCTION("""COMPUTED_VALUE"""),"SRB")</f>
        <v>SRB</v>
      </c>
      <c r="N444" s="16" t="str">
        <f ca="1">IFERROR(__xludf.DUMMYFUNCTION("""COMPUTED_VALUE"""),"Terme")</f>
        <v>Terme</v>
      </c>
      <c r="O444" s="8" t="str">
        <f ca="1">IFERROR(__xludf.DUMMYFUNCTION("""COMPUTED_VALUE"""),"Double")</f>
        <v>Double</v>
      </c>
      <c r="P444" s="8" t="str">
        <f ca="1">IFERROR(__xludf.DUMMYFUNCTION("""COMPUTED_VALUE"""),"Simonovic A.")</f>
        <v>Simonovic A.</v>
      </c>
      <c r="Q444" s="8">
        <f ca="1">IFERROR(__xludf.DUMMYFUNCTION("""COMPUTED_VALUE"""),8)</f>
        <v>8</v>
      </c>
      <c r="R444" s="8">
        <f ca="1">IFERROR(__xludf.DUMMYFUNCTION("""COMPUTED_VALUE"""),0)</f>
        <v>0</v>
      </c>
      <c r="S444" s="8">
        <f ca="1">IFERROR(__xludf.DUMMYFUNCTION("""COMPUTED_VALUE"""),12.8)</f>
        <v>12.8</v>
      </c>
      <c r="T444" s="8">
        <f ca="1">IFERROR(__xludf.DUMMYFUNCTION("""COMPUTED_VALUE"""),12.8)</f>
        <v>12.8</v>
      </c>
      <c r="U444" s="8"/>
      <c r="V444" s="8"/>
      <c r="W444" s="8"/>
      <c r="X444" s="8"/>
      <c r="Y444" s="8"/>
      <c r="Z444" s="67" t="s">
        <v>32</v>
      </c>
      <c r="AA444" s="37" t="str">
        <f ca="1">IFERROR(__xludf.DUMMYFUNCTION("""COMPUTED_VALUE"""),"27/10/2024")</f>
        <v>27/10/2024</v>
      </c>
      <c r="AB444" s="64"/>
    </row>
    <row r="445" spans="1:31" ht="14.55" customHeight="1" x14ac:dyDescent="0.3">
      <c r="A445" s="8">
        <v>36</v>
      </c>
      <c r="B445" s="8"/>
      <c r="C445" s="8"/>
      <c r="D445" s="8" t="str">
        <f ca="1">IFERROR(__xludf.DUMMYFUNCTION("""COMPUTED_VALUE"""),"29/08/2024")</f>
        <v>29/08/2024</v>
      </c>
      <c r="E445" s="16" t="str">
        <f ca="1">IFERROR(__xludf.DUMMYFUNCTION("""COMPUTED_VALUE"""),"Player")</f>
        <v>Player</v>
      </c>
      <c r="F445" s="8" t="s">
        <v>33</v>
      </c>
      <c r="G445" s="8" t="str">
        <f ca="1">IFERROR(__xludf.DUMMYFUNCTION("""COMPUTED_VALUE"""),"SRB")</f>
        <v>SRB</v>
      </c>
      <c r="H445" s="8"/>
      <c r="I445" s="8">
        <f ca="1">IFERROR(__xludf.DUMMYFUNCTION("""COMPUTED_VALUE"""),100)</f>
        <v>100</v>
      </c>
      <c r="J445" s="8"/>
      <c r="K445" s="8"/>
      <c r="L445" s="8" t="str">
        <f ca="1">IFERROR(__xludf.DUMMYFUNCTION("""COMPUTED_VALUE"""),"Zmaj")</f>
        <v>Zmaj</v>
      </c>
      <c r="M445" s="8" t="str">
        <f ca="1">IFERROR(__xludf.DUMMYFUNCTION("""COMPUTED_VALUE"""),"SRB")</f>
        <v>SRB</v>
      </c>
      <c r="N445" s="16" t="str">
        <f ca="1">IFERROR(__xludf.DUMMYFUNCTION("""COMPUTED_VALUE"""),"Terme")</f>
        <v>Terme</v>
      </c>
      <c r="O445" s="8" t="str">
        <f ca="1">IFERROR(__xludf.DUMMYFUNCTION("""COMPUTED_VALUE"""),"Single")</f>
        <v>Single</v>
      </c>
      <c r="P445" s="8"/>
      <c r="Q445" s="8">
        <f ca="1">IFERROR(__xludf.DUMMYFUNCTION("""COMPUTED_VALUE"""),8)</f>
        <v>8</v>
      </c>
      <c r="R445" s="8">
        <f ca="1">IFERROR(__xludf.DUMMYFUNCTION("""COMPUTED_VALUE"""),0)</f>
        <v>0</v>
      </c>
      <c r="S445" s="8">
        <f ca="1">IFERROR(__xludf.DUMMYFUNCTION("""COMPUTED_VALUE"""),12.8)</f>
        <v>12.8</v>
      </c>
      <c r="T445" s="8">
        <f ca="1">IFERROR(__xludf.DUMMYFUNCTION("""COMPUTED_VALUE"""),12.8)</f>
        <v>12.8</v>
      </c>
      <c r="U445" s="8"/>
      <c r="V445" s="8"/>
      <c r="W445" s="8"/>
      <c r="X445" s="8"/>
      <c r="Y445" s="8"/>
      <c r="Z445" s="67" t="s">
        <v>32</v>
      </c>
      <c r="AA445" s="37" t="str">
        <f ca="1">IFERROR(__xludf.DUMMYFUNCTION("""COMPUTED_VALUE"""),"27/10/2024")</f>
        <v>27/10/2024</v>
      </c>
      <c r="AB445" s="64"/>
    </row>
    <row r="446" spans="1:31" ht="14.55" customHeight="1" x14ac:dyDescent="0.3">
      <c r="A446" s="8">
        <v>37</v>
      </c>
      <c r="B446" s="8"/>
      <c r="C446" s="8"/>
      <c r="D446" s="8" t="str">
        <f ca="1">IFERROR(__xludf.DUMMYFUNCTION("""COMPUTED_VALUE"""),"29/08/2024")</f>
        <v>29/08/2024</v>
      </c>
      <c r="E446" s="16" t="str">
        <f ca="1">IFERROR(__xludf.DUMMYFUNCTION("""COMPUTED_VALUE"""),"Player")</f>
        <v>Player</v>
      </c>
      <c r="F446" s="8" t="str">
        <f ca="1">IFERROR(__xludf.DUMMYFUNCTION("""COMPUTED_VALUE"""),"Agarwal, Amaya")</f>
        <v>Agarwal, Amaya</v>
      </c>
      <c r="G446" s="8" t="str">
        <f ca="1">IFERROR(__xludf.DUMMYFUNCTION("""COMPUTED_VALUE"""),"ENG")</f>
        <v>ENG</v>
      </c>
      <c r="H446" s="8"/>
      <c r="I446" s="8">
        <f ca="1">IFERROR(__xludf.DUMMYFUNCTION("""COMPUTED_VALUE"""),100)</f>
        <v>100</v>
      </c>
      <c r="J446" s="8"/>
      <c r="K446" s="8"/>
      <c r="L446" s="8" t="str">
        <f ca="1">IFERROR(__xludf.DUMMYFUNCTION("""COMPUTED_VALUE"""),"Zmaj")</f>
        <v>Zmaj</v>
      </c>
      <c r="M446" s="8" t="str">
        <f ca="1">IFERROR(__xludf.DUMMYFUNCTION("""COMPUTED_VALUE"""),"SRB")</f>
        <v>SRB</v>
      </c>
      <c r="N446" s="16" t="str">
        <f ca="1">IFERROR(__xludf.DUMMYFUNCTION("""COMPUTED_VALUE"""),"Terme")</f>
        <v>Terme</v>
      </c>
      <c r="O446" s="8" t="str">
        <f ca="1">IFERROR(__xludf.DUMMYFUNCTION("""COMPUTED_VALUE"""),"Double")</f>
        <v>Double</v>
      </c>
      <c r="P446" s="8" t="str">
        <f ca="1">IFERROR(__xludf.DUMMYFUNCTION("""COMPUTED_VALUE"""),"Agarwal App")</f>
        <v>Agarwal App</v>
      </c>
      <c r="Q446" s="8">
        <f ca="1">IFERROR(__xludf.DUMMYFUNCTION("""COMPUTED_VALUE"""),8)</f>
        <v>8</v>
      </c>
      <c r="R446" s="8">
        <f ca="1">IFERROR(__xludf.DUMMYFUNCTION("""COMPUTED_VALUE"""),0)</f>
        <v>0</v>
      </c>
      <c r="S446" s="8">
        <f ca="1">IFERROR(__xludf.DUMMYFUNCTION("""COMPUTED_VALUE"""),12.8)</f>
        <v>12.8</v>
      </c>
      <c r="T446" s="8">
        <f ca="1">IFERROR(__xludf.DUMMYFUNCTION("""COMPUTED_VALUE"""),12.8)</f>
        <v>12.8</v>
      </c>
      <c r="U446" s="8"/>
      <c r="V446" s="8"/>
      <c r="W446" s="8"/>
      <c r="X446" s="8"/>
      <c r="Y446" s="8"/>
      <c r="Z446" s="67" t="s">
        <v>32</v>
      </c>
      <c r="AA446" s="37" t="str">
        <f ca="1">IFERROR(__xludf.DUMMYFUNCTION("""COMPUTED_VALUE"""),"27/10/2024")</f>
        <v>27/10/2024</v>
      </c>
      <c r="AB446" s="64"/>
      <c r="AE446" s="11"/>
    </row>
    <row r="447" spans="1:31" ht="14.55" customHeight="1" x14ac:dyDescent="0.3">
      <c r="A447" s="8">
        <v>38</v>
      </c>
      <c r="B447" s="8"/>
      <c r="C447" s="8"/>
      <c r="D447" s="8"/>
      <c r="E447" s="16" t="s">
        <v>0</v>
      </c>
      <c r="F447" s="8" t="str">
        <f ca="1">IFERROR(__xludf.DUMMYFUNCTION("""COMPUTED_VALUE"""),"Agarwal, Panacha")</f>
        <v>Agarwal, Panacha</v>
      </c>
      <c r="G447" s="8" t="str">
        <f ca="1">IFERROR(__xludf.DUMMYFUNCTION("""COMPUTED_VALUE"""),"ENG")</f>
        <v>ENG</v>
      </c>
      <c r="H447" s="8"/>
      <c r="I447" s="8">
        <f ca="1">IFERROR(__xludf.DUMMYFUNCTION("""COMPUTED_VALUE"""),100)</f>
        <v>100</v>
      </c>
      <c r="J447" s="8"/>
      <c r="K447" s="8"/>
      <c r="L447" s="8" t="str">
        <f ca="1">IFERROR(__xludf.DUMMYFUNCTION("""COMPUTED_VALUE"""),"Zmaj")</f>
        <v>Zmaj</v>
      </c>
      <c r="M447" s="8" t="str">
        <f ca="1">IFERROR(__xludf.DUMMYFUNCTION("""COMPUTED_VALUE"""),"SRB")</f>
        <v>SRB</v>
      </c>
      <c r="N447" s="16" t="str">
        <f ca="1">IFERROR(__xludf.DUMMYFUNCTION("""COMPUTED_VALUE"""),"Terme")</f>
        <v>Terme</v>
      </c>
      <c r="O447" s="8" t="str">
        <f ca="1">IFERROR(__xludf.DUMMYFUNCTION("""COMPUTED_VALUE"""),"Double")</f>
        <v>Double</v>
      </c>
      <c r="P447" s="8" t="str">
        <f ca="1">IFERROR(__xludf.DUMMYFUNCTION("""COMPUTED_VALUE"""),"Agarwal App")</f>
        <v>Agarwal App</v>
      </c>
      <c r="Q447" s="8">
        <f ca="1">IFERROR(__xludf.DUMMYFUNCTION("""COMPUTED_VALUE"""),8)</f>
        <v>8</v>
      </c>
      <c r="R447" s="8">
        <f ca="1">IFERROR(__xludf.DUMMYFUNCTION("""COMPUTED_VALUE"""),0)</f>
        <v>0</v>
      </c>
      <c r="S447" s="8">
        <f ca="1">IFERROR(__xludf.DUMMYFUNCTION("""COMPUTED_VALUE"""),12.8)</f>
        <v>12.8</v>
      </c>
      <c r="T447" s="8">
        <f ca="1">IFERROR(__xludf.DUMMYFUNCTION("""COMPUTED_VALUE"""),12.8)</f>
        <v>12.8</v>
      </c>
      <c r="U447" s="8"/>
      <c r="V447" s="8"/>
      <c r="W447" s="8"/>
      <c r="X447" s="8"/>
      <c r="Y447" s="8"/>
      <c r="Z447" s="67" t="s">
        <v>32</v>
      </c>
      <c r="AA447" s="37" t="str">
        <f ca="1">IFERROR(__xludf.DUMMYFUNCTION("""COMPUTED_VALUE"""),"27/10/2024")</f>
        <v>27/10/2024</v>
      </c>
      <c r="AB447" s="64"/>
    </row>
    <row r="448" spans="1:31" ht="14.55" customHeight="1" x14ac:dyDescent="0.3">
      <c r="A448" s="8">
        <v>39</v>
      </c>
      <c r="B448" s="8"/>
      <c r="C448" s="8"/>
      <c r="D448" s="8" t="str">
        <f ca="1">IFERROR(__xludf.DUMMYFUNCTION("""COMPUTED_VALUE"""),"31/07/2024")</f>
        <v>31/07/2024</v>
      </c>
      <c r="E448" s="16" t="str">
        <f ca="1">IFERROR(__xludf.DUMMYFUNCTION("""COMPUTED_VALUE"""),"Player")</f>
        <v>Player</v>
      </c>
      <c r="F448" s="8" t="str">
        <f ca="1">IFERROR(__xludf.DUMMYFUNCTION("""COMPUTED_VALUE"""),"Wachinger, Nikolas")</f>
        <v>Wachinger, Nikolas</v>
      </c>
      <c r="G448" s="16" t="str">
        <f ca="1">IFERROR(__xludf.DUMMYFUNCTION("""COMPUTED_VALUE"""),"GER")</f>
        <v>GER</v>
      </c>
      <c r="H448" s="8"/>
      <c r="I448" s="8">
        <f ca="1">IFERROR(__xludf.DUMMYFUNCTION("""COMPUTED_VALUE"""),100)</f>
        <v>100</v>
      </c>
      <c r="J448" s="8"/>
      <c r="K448" s="8"/>
      <c r="L448" s="8" t="str">
        <f ca="1">IFERROR(__xludf.DUMMYFUNCTION("""COMPUTED_VALUE"""),"SV Werder Bremen")</f>
        <v>SV Werder Bremen</v>
      </c>
      <c r="M448" s="16" t="str">
        <f ca="1">IFERROR(__xludf.DUMMYFUNCTION("""COMPUTED_VALUE"""),"GER")</f>
        <v>GER</v>
      </c>
      <c r="N448" s="16" t="str">
        <f ca="1">IFERROR(__xludf.DUMMYFUNCTION("""COMPUTED_VALUE"""),"Fontana")</f>
        <v>Fontana</v>
      </c>
      <c r="O448" s="8" t="str">
        <f ca="1">IFERROR(__xludf.DUMMYFUNCTION("""COMPUTED_VALUE"""),"Colbow")</f>
        <v>Colbow</v>
      </c>
      <c r="P448" s="8">
        <f ca="1">IFERROR(__xludf.DUMMYFUNCTION("""COMPUTED_VALUE"""),84)</f>
        <v>84</v>
      </c>
      <c r="Q448" s="8">
        <f ca="1">IFERROR(__xludf.DUMMYFUNCTION("""COMPUTED_VALUE"""),8)</f>
        <v>8</v>
      </c>
      <c r="R448" s="8">
        <f ca="1">IFERROR(__xludf.DUMMYFUNCTION("""COMPUTED_VALUE"""),672)</f>
        <v>672</v>
      </c>
      <c r="S448" s="8">
        <f ca="1">IFERROR(__xludf.DUMMYFUNCTION("""COMPUTED_VALUE"""),12.8)</f>
        <v>12.8</v>
      </c>
      <c r="T448" s="8">
        <f ca="1">IFERROR(__xludf.DUMMYFUNCTION("""COMPUTED_VALUE"""),684.8)</f>
        <v>684.8</v>
      </c>
      <c r="U448" s="8"/>
      <c r="V448" s="8"/>
      <c r="W448" s="8"/>
      <c r="X448" s="8" t="str">
        <f ca="1">IFERROR(__xludf.DUMMYFUNCTION("""COMPUTED_VALUE"""),"standard")</f>
        <v>standard</v>
      </c>
      <c r="Y448" s="8"/>
      <c r="Z448" s="37" t="str">
        <f ca="1">IFERROR(__xludf.DUMMYFUNCTION("""COMPUTED_VALUE"""),"JU 355")</f>
        <v>JU 355</v>
      </c>
      <c r="AA448" s="37" t="str">
        <f ca="1">IFERROR(__xludf.DUMMYFUNCTION("""COMPUTED_VALUE"""),"27/10/2024")</f>
        <v>27/10/2024</v>
      </c>
      <c r="AB448" s="64">
        <f ca="1">IFERROR(__xludf.DUMMYFUNCTION("""COMPUTED_VALUE"""),0.756944444444444)</f>
        <v>0.75694444444444398</v>
      </c>
    </row>
    <row r="449" spans="1:28" ht="14.55" customHeight="1" x14ac:dyDescent="0.3">
      <c r="A449" s="8">
        <v>40</v>
      </c>
      <c r="B449" s="8"/>
      <c r="C449" s="8"/>
      <c r="D449" s="8" t="str">
        <f ca="1">IFERROR(__xludf.DUMMYFUNCTION("""COMPUTED_VALUE"""),"31/07/2024")</f>
        <v>31/07/2024</v>
      </c>
      <c r="E449" s="16" t="str">
        <f ca="1">IFERROR(__xludf.DUMMYFUNCTION("""COMPUTED_VALUE"""),"Player")</f>
        <v>Player</v>
      </c>
      <c r="F449" s="8" t="str">
        <f ca="1">IFERROR(__xludf.DUMMYFUNCTION("""COMPUTED_VALUE"""),"Reuker, Jari")</f>
        <v>Reuker, Jari</v>
      </c>
      <c r="G449" s="16" t="str">
        <f ca="1">IFERROR(__xludf.DUMMYFUNCTION("""COMPUTED_VALUE"""),"GER")</f>
        <v>GER</v>
      </c>
      <c r="H449" s="8"/>
      <c r="I449" s="8">
        <f ca="1">IFERROR(__xludf.DUMMYFUNCTION("""COMPUTED_VALUE"""),100)</f>
        <v>100</v>
      </c>
      <c r="J449" s="8"/>
      <c r="K449" s="8"/>
      <c r="L449" s="8" t="str">
        <f ca="1">IFERROR(__xludf.DUMMYFUNCTION("""COMPUTED_VALUE"""),"SV Werder Bremen")</f>
        <v>SV Werder Bremen</v>
      </c>
      <c r="M449" s="16" t="str">
        <f ca="1">IFERROR(__xludf.DUMMYFUNCTION("""COMPUTED_VALUE"""),"GER")</f>
        <v>GER</v>
      </c>
      <c r="N449" s="16" t="str">
        <f ca="1">IFERROR(__xludf.DUMMYFUNCTION("""COMPUTED_VALUE"""),"Fontana")</f>
        <v>Fontana</v>
      </c>
      <c r="O449" s="8" t="str">
        <f ca="1">IFERROR(__xludf.DUMMYFUNCTION("""COMPUTED_VALUE"""),"Jetses")</f>
        <v>Jetses</v>
      </c>
      <c r="P449" s="8">
        <f ca="1">IFERROR(__xludf.DUMMYFUNCTION("""COMPUTED_VALUE"""),84)</f>
        <v>84</v>
      </c>
      <c r="Q449" s="8">
        <f ca="1">IFERROR(__xludf.DUMMYFUNCTION("""COMPUTED_VALUE"""),8)</f>
        <v>8</v>
      </c>
      <c r="R449" s="8">
        <f ca="1">IFERROR(__xludf.DUMMYFUNCTION("""COMPUTED_VALUE"""),672)</f>
        <v>672</v>
      </c>
      <c r="S449" s="8">
        <f ca="1">IFERROR(__xludf.DUMMYFUNCTION("""COMPUTED_VALUE"""),12.8)</f>
        <v>12.8</v>
      </c>
      <c r="T449" s="8">
        <f ca="1">IFERROR(__xludf.DUMMYFUNCTION("""COMPUTED_VALUE"""),684.8)</f>
        <v>684.8</v>
      </c>
      <c r="U449" s="8"/>
      <c r="V449" s="8"/>
      <c r="W449" s="8"/>
      <c r="X449" s="8" t="str">
        <f ca="1">IFERROR(__xludf.DUMMYFUNCTION("""COMPUTED_VALUE"""),"standard")</f>
        <v>standard</v>
      </c>
      <c r="Y449" s="8"/>
      <c r="Z449" s="37" t="str">
        <f ca="1">IFERROR(__xludf.DUMMYFUNCTION("""COMPUTED_VALUE"""),"JU 356")</f>
        <v>JU 356</v>
      </c>
      <c r="AA449" s="37" t="str">
        <f ca="1">IFERROR(__xludf.DUMMYFUNCTION("""COMPUTED_VALUE"""),"27/10/2024")</f>
        <v>27/10/2024</v>
      </c>
      <c r="AB449" s="64">
        <f ca="1">IFERROR(__xludf.DUMMYFUNCTION("""COMPUTED_VALUE"""),0.756944444444444)</f>
        <v>0.75694444444444398</v>
      </c>
    </row>
    <row r="450" spans="1:28" ht="14.55" customHeight="1" x14ac:dyDescent="0.3">
      <c r="A450" s="8">
        <v>41</v>
      </c>
      <c r="B450" s="8"/>
      <c r="C450" s="8"/>
      <c r="D450" s="8" t="str">
        <f ca="1">IFERROR(__xludf.DUMMYFUNCTION("""COMPUTED_VALUE"""),"31/07/2024")</f>
        <v>31/07/2024</v>
      </c>
      <c r="E450" s="16" t="s">
        <v>0</v>
      </c>
      <c r="F450" s="8" t="str">
        <f ca="1">IFERROR(__xludf.DUMMYFUNCTION("""COMPUTED_VALUE"""),"Jetses, Lena Elin ")</f>
        <v xml:space="preserve">Jetses, Lena Elin </v>
      </c>
      <c r="G450" s="16" t="str">
        <f ca="1">IFERROR(__xludf.DUMMYFUNCTION("""COMPUTED_VALUE"""),"GER")</f>
        <v>GER</v>
      </c>
      <c r="H450" s="8"/>
      <c r="I450" s="8">
        <f ca="1">IFERROR(__xludf.DUMMYFUNCTION("""COMPUTED_VALUE"""),100)</f>
        <v>100</v>
      </c>
      <c r="J450" s="8"/>
      <c r="K450" s="8"/>
      <c r="L450" s="8" t="str">
        <f ca="1">IFERROR(__xludf.DUMMYFUNCTION("""COMPUTED_VALUE"""),"SV Werder Bremen")</f>
        <v>SV Werder Bremen</v>
      </c>
      <c r="M450" s="16" t="str">
        <f ca="1">IFERROR(__xludf.DUMMYFUNCTION("""COMPUTED_VALUE"""),"GER")</f>
        <v>GER</v>
      </c>
      <c r="N450" s="16" t="str">
        <f ca="1">IFERROR(__xludf.DUMMYFUNCTION("""COMPUTED_VALUE"""),"Fontana")</f>
        <v>Fontana</v>
      </c>
      <c r="O450" s="8" t="str">
        <f ca="1">IFERROR(__xludf.DUMMYFUNCTION("""COMPUTED_VALUE"""),"Reuker")</f>
        <v>Reuker</v>
      </c>
      <c r="P450" s="8">
        <f ca="1">IFERROR(__xludf.DUMMYFUNCTION("""COMPUTED_VALUE"""),84)</f>
        <v>84</v>
      </c>
      <c r="Q450" s="8">
        <f ca="1">IFERROR(__xludf.DUMMYFUNCTION("""COMPUTED_VALUE"""),8)</f>
        <v>8</v>
      </c>
      <c r="R450" s="8">
        <f ca="1">IFERROR(__xludf.DUMMYFUNCTION("""COMPUTED_VALUE"""),672)</f>
        <v>672</v>
      </c>
      <c r="S450" s="8">
        <f ca="1">IFERROR(__xludf.DUMMYFUNCTION("""COMPUTED_VALUE"""),12.8)</f>
        <v>12.8</v>
      </c>
      <c r="T450" s="8">
        <f ca="1">IFERROR(__xludf.DUMMYFUNCTION("""COMPUTED_VALUE"""),684.8)</f>
        <v>684.8</v>
      </c>
      <c r="U450" s="8"/>
      <c r="V450" s="8"/>
      <c r="W450" s="8"/>
      <c r="X450" s="8" t="str">
        <f ca="1">IFERROR(__xludf.DUMMYFUNCTION("""COMPUTED_VALUE"""),"standard")</f>
        <v>standard</v>
      </c>
      <c r="Y450" s="8"/>
      <c r="Z450" s="37" t="str">
        <f ca="1">IFERROR(__xludf.DUMMYFUNCTION("""COMPUTED_VALUE"""),"JU 355")</f>
        <v>JU 355</v>
      </c>
      <c r="AA450" s="37" t="str">
        <f ca="1">IFERROR(__xludf.DUMMYFUNCTION("""COMPUTED_VALUE"""),"27/10/2024")</f>
        <v>27/10/2024</v>
      </c>
      <c r="AB450" s="64">
        <f ca="1">IFERROR(__xludf.DUMMYFUNCTION("""COMPUTED_VALUE"""),0.756944444444444)</f>
        <v>0.75694444444444398</v>
      </c>
    </row>
    <row r="451" spans="1:28" ht="14.55" customHeight="1" x14ac:dyDescent="0.3">
      <c r="A451" s="8">
        <v>42</v>
      </c>
      <c r="B451" s="8"/>
      <c r="C451" s="8"/>
      <c r="D451" s="8" t="str">
        <f ca="1">IFERROR(__xludf.DUMMYFUNCTION("""COMPUTED_VALUE"""),"14/08/2024")</f>
        <v>14/08/2024</v>
      </c>
      <c r="E451" s="16" t="str">
        <f ca="1">IFERROR(__xludf.DUMMYFUNCTION("""COMPUTED_VALUE"""),"Player")</f>
        <v>Player</v>
      </c>
      <c r="F451" s="8" t="str">
        <f ca="1">IFERROR(__xludf.DUMMYFUNCTION("""COMPUTED_VALUE"""),"Badelka, Olga")</f>
        <v>Badelka, Olga</v>
      </c>
      <c r="G451" s="8" t="str">
        <f ca="1">IFERROR(__xludf.DUMMYFUNCTION("""COMPUTED_VALUE"""),"FID")</f>
        <v>FID</v>
      </c>
      <c r="H451" s="8"/>
      <c r="I451" s="8">
        <f ca="1">IFERROR(__xludf.DUMMYFUNCTION("""COMPUTED_VALUE"""),100)</f>
        <v>100</v>
      </c>
      <c r="J451" s="8"/>
      <c r="K451" s="8"/>
      <c r="L451" s="8" t="str">
        <f ca="1">IFERROR(__xludf.DUMMYFUNCTION("""COMPUTED_VALUE"""),"Tajfun SK")</f>
        <v>Tajfun SK</v>
      </c>
      <c r="M451" s="8" t="str">
        <f ca="1">IFERROR(__xludf.DUMMYFUNCTION("""COMPUTED_VALUE"""),"SLO")</f>
        <v>SLO</v>
      </c>
      <c r="N451" s="16" t="str">
        <f ca="1">IFERROR(__xludf.DUMMYFUNCTION("""COMPUTED_VALUE"""),"Tonanti")</f>
        <v>Tonanti</v>
      </c>
      <c r="O451" s="8" t="str">
        <f ca="1">IFERROR(__xludf.DUMMYFUNCTION("""COMPUTED_VALUE"""),"Single")</f>
        <v>Single</v>
      </c>
      <c r="P451" s="8"/>
      <c r="Q451" s="8">
        <f ca="1">IFERROR(__xludf.DUMMYFUNCTION("""COMPUTED_VALUE"""),8)</f>
        <v>8</v>
      </c>
      <c r="R451" s="8">
        <f ca="1">IFERROR(__xludf.DUMMYFUNCTION("""COMPUTED_VALUE"""),864)</f>
        <v>864</v>
      </c>
      <c r="S451" s="8">
        <f ca="1">IFERROR(__xludf.DUMMYFUNCTION("""COMPUTED_VALUE"""),12.8)</f>
        <v>12.8</v>
      </c>
      <c r="T451" s="8">
        <f ca="1">IFERROR(__xludf.DUMMYFUNCTION("""COMPUTED_VALUE"""),876.8)</f>
        <v>876.8</v>
      </c>
      <c r="U451" s="8"/>
      <c r="V451" s="8"/>
      <c r="W451" s="8"/>
      <c r="X451" s="8"/>
      <c r="Y451" s="8"/>
      <c r="Z451" s="37" t="str">
        <f ca="1">IFERROR(__xludf.DUMMYFUNCTION("""COMPUTED_VALUE"""),"?")</f>
        <v>?</v>
      </c>
      <c r="AA451" s="37" t="str">
        <f ca="1">IFERROR(__xludf.DUMMYFUNCTION("""COMPUTED_VALUE"""),"27/10/2024")</f>
        <v>27/10/2024</v>
      </c>
      <c r="AB451" s="64">
        <v>0.75694444444444453</v>
      </c>
    </row>
    <row r="452" spans="1:28" ht="14.55" customHeight="1" x14ac:dyDescent="0.3">
      <c r="A452" s="8">
        <v>43</v>
      </c>
      <c r="B452" s="8"/>
      <c r="C452" s="8"/>
      <c r="D452" s="8" t="str">
        <f ca="1">IFERROR(__xludf.DUMMYFUNCTION("""COMPUTED_VALUE"""),"29/07/2024")</f>
        <v>29/07/2024</v>
      </c>
      <c r="E452" s="16" t="str">
        <f ca="1">IFERROR(__xludf.DUMMYFUNCTION("""COMPUTED_VALUE"""),"Player")</f>
        <v>Player</v>
      </c>
      <c r="F452" s="8" t="str">
        <f ca="1">IFERROR(__xludf.DUMMYFUNCTION("""COMPUTED_VALUE"""),"Kurochkin, Victor")</f>
        <v>Kurochkin, Victor</v>
      </c>
      <c r="G452" s="16" t="str">
        <f ca="1">IFERROR(__xludf.DUMMYFUNCTION("""COMPUTED_VALUE"""),"FID")</f>
        <v>FID</v>
      </c>
      <c r="H452" s="8"/>
      <c r="I452" s="8">
        <f ca="1">IFERROR(__xludf.DUMMYFUNCTION("""COMPUTED_VALUE"""),100)</f>
        <v>100</v>
      </c>
      <c r="J452" s="8"/>
      <c r="K452" s="8"/>
      <c r="L452" s="8" t="str">
        <f ca="1">IFERROR(__xludf.DUMMYFUNCTION("""COMPUTED_VALUE"""),"Perfect")</f>
        <v>Perfect</v>
      </c>
      <c r="M452" s="16" t="str">
        <f ca="1">IFERROR(__xludf.DUMMYFUNCTION("""COMPUTED_VALUE"""),"MDA")</f>
        <v>MDA</v>
      </c>
      <c r="N452" s="16" t="str">
        <f ca="1">IFERROR(__xludf.DUMMYFUNCTION("""COMPUTED_VALUE"""),"Fontana")</f>
        <v>Fontana</v>
      </c>
      <c r="O452" s="8" t="str">
        <f ca="1">IFERROR(__xludf.DUMMYFUNCTION("""COMPUTED_VALUE"""),"Kurochkin")</f>
        <v>Kurochkin</v>
      </c>
      <c r="P452" s="8">
        <f ca="1">IFERROR(__xludf.DUMMYFUNCTION("""COMPUTED_VALUE"""),84)</f>
        <v>84</v>
      </c>
      <c r="Q452" s="8">
        <f ca="1">IFERROR(__xludf.DUMMYFUNCTION("""COMPUTED_VALUE"""),8)</f>
        <v>8</v>
      </c>
      <c r="R452" s="8">
        <f ca="1">IFERROR(__xludf.DUMMYFUNCTION("""COMPUTED_VALUE"""),672)</f>
        <v>672</v>
      </c>
      <c r="S452" s="8">
        <f ca="1">IFERROR(__xludf.DUMMYFUNCTION("""COMPUTED_VALUE"""),12.8)</f>
        <v>12.8</v>
      </c>
      <c r="T452" s="8">
        <f ca="1">IFERROR(__xludf.DUMMYFUNCTION("""COMPUTED_VALUE"""),684.8)</f>
        <v>684.8</v>
      </c>
      <c r="U452" s="8"/>
      <c r="V452" s="8"/>
      <c r="W452" s="8"/>
      <c r="X452" s="8"/>
      <c r="Y452" s="8"/>
      <c r="Z452" s="37" t="s">
        <v>1</v>
      </c>
      <c r="AA452" s="37" t="str">
        <f ca="1">IFERROR(__xludf.DUMMYFUNCTION("""COMPUTED_VALUE"""),"27/10/2024")</f>
        <v>27/10/2024</v>
      </c>
      <c r="AB452" s="64">
        <f ca="1">IFERROR(__xludf.DUMMYFUNCTION("""COMPUTED_VALUE"""),0.767361111111111)</f>
        <v>0.76736111111111105</v>
      </c>
    </row>
    <row r="453" spans="1:28" ht="14.55" customHeight="1" x14ac:dyDescent="0.3">
      <c r="A453" s="8">
        <v>44</v>
      </c>
      <c r="B453" s="8"/>
      <c r="C453" s="8"/>
      <c r="D453" s="8" t="str">
        <f ca="1">IFERROR(__xludf.DUMMYFUNCTION("""COMPUTED_VALUE"""),"29/07/2024")</f>
        <v>29/07/2024</v>
      </c>
      <c r="E453" s="16" t="str">
        <f ca="1">IFERROR(__xludf.DUMMYFUNCTION("""COMPUTED_VALUE"""),"Player")</f>
        <v>Player</v>
      </c>
      <c r="F453" s="8" t="str">
        <f ca="1">IFERROR(__xludf.DUMMYFUNCTION("""COMPUTED_VALUE"""),"Alekseev, Andrey")</f>
        <v>Alekseev, Andrey</v>
      </c>
      <c r="G453" s="16" t="str">
        <f ca="1">IFERROR(__xludf.DUMMYFUNCTION("""COMPUTED_VALUE"""),"FID")</f>
        <v>FID</v>
      </c>
      <c r="H453" s="8"/>
      <c r="I453" s="8">
        <f ca="1">IFERROR(__xludf.DUMMYFUNCTION("""COMPUTED_VALUE"""),100)</f>
        <v>100</v>
      </c>
      <c r="J453" s="8"/>
      <c r="K453" s="8"/>
      <c r="L453" s="8" t="str">
        <f ca="1">IFERROR(__xludf.DUMMYFUNCTION("""COMPUTED_VALUE"""),"Perfect")</f>
        <v>Perfect</v>
      </c>
      <c r="M453" s="16" t="str">
        <f ca="1">IFERROR(__xludf.DUMMYFUNCTION("""COMPUTED_VALUE"""),"MDA")</f>
        <v>MDA</v>
      </c>
      <c r="N453" s="16" t="str">
        <f ca="1">IFERROR(__xludf.DUMMYFUNCTION("""COMPUTED_VALUE"""),"Fontana")</f>
        <v>Fontana</v>
      </c>
      <c r="O453" s="8" t="str">
        <f ca="1">IFERROR(__xludf.DUMMYFUNCTION("""COMPUTED_VALUE"""),"Mindru")</f>
        <v>Mindru</v>
      </c>
      <c r="P453" s="8">
        <f ca="1">IFERROR(__xludf.DUMMYFUNCTION("""COMPUTED_VALUE"""),84)</f>
        <v>84</v>
      </c>
      <c r="Q453" s="8">
        <f ca="1">IFERROR(__xludf.DUMMYFUNCTION("""COMPUTED_VALUE"""),8)</f>
        <v>8</v>
      </c>
      <c r="R453" s="8">
        <f ca="1">IFERROR(__xludf.DUMMYFUNCTION("""COMPUTED_VALUE"""),672)</f>
        <v>672</v>
      </c>
      <c r="S453" s="8">
        <f ca="1">IFERROR(__xludf.DUMMYFUNCTION("""COMPUTED_VALUE"""),12.8)</f>
        <v>12.8</v>
      </c>
      <c r="T453" s="8">
        <f ca="1">IFERROR(__xludf.DUMMYFUNCTION("""COMPUTED_VALUE"""),684.8)</f>
        <v>684.8</v>
      </c>
      <c r="U453" s="8"/>
      <c r="V453" s="8"/>
      <c r="W453" s="8"/>
      <c r="X453" s="8"/>
      <c r="Y453" s="8"/>
      <c r="Z453" s="37" t="s">
        <v>1</v>
      </c>
      <c r="AA453" s="37" t="str">
        <f ca="1">IFERROR(__xludf.DUMMYFUNCTION("""COMPUTED_VALUE"""),"27/10/2024")</f>
        <v>27/10/2024</v>
      </c>
      <c r="AB453" s="64">
        <f ca="1">IFERROR(__xludf.DUMMYFUNCTION("""COMPUTED_VALUE"""),0.767361111111111)</f>
        <v>0.76736111111111105</v>
      </c>
    </row>
    <row r="454" spans="1:28" ht="14.55" customHeight="1" x14ac:dyDescent="0.3">
      <c r="A454" s="8">
        <v>45</v>
      </c>
      <c r="B454" s="8"/>
      <c r="C454" s="8"/>
      <c r="D454" s="8" t="str">
        <f ca="1">IFERROR(__xludf.DUMMYFUNCTION("""COMPUTED_VALUE"""),"29/07/2024")</f>
        <v>29/07/2024</v>
      </c>
      <c r="E454" s="16" t="s">
        <v>0</v>
      </c>
      <c r="F454" s="8" t="str">
        <f ca="1">IFERROR(__xludf.DUMMYFUNCTION("""COMPUTED_VALUE"""),"Kurochkin, Sergei")</f>
        <v>Kurochkin, Sergei</v>
      </c>
      <c r="G454" s="16"/>
      <c r="H454" s="8"/>
      <c r="I454" s="8">
        <f ca="1">IFERROR(__xludf.DUMMYFUNCTION("""COMPUTED_VALUE"""),100)</f>
        <v>100</v>
      </c>
      <c r="J454" s="8"/>
      <c r="K454" s="8"/>
      <c r="L454" s="8" t="str">
        <f ca="1">IFERROR(__xludf.DUMMYFUNCTION("""COMPUTED_VALUE"""),"Perfect")</f>
        <v>Perfect</v>
      </c>
      <c r="M454" s="16" t="str">
        <f ca="1">IFERROR(__xludf.DUMMYFUNCTION("""COMPUTED_VALUE"""),"MDA")</f>
        <v>MDA</v>
      </c>
      <c r="N454" s="16" t="str">
        <f ca="1">IFERROR(__xludf.DUMMYFUNCTION("""COMPUTED_VALUE"""),"Fontana")</f>
        <v>Fontana</v>
      </c>
      <c r="O454" s="8" t="str">
        <f ca="1">IFERROR(__xludf.DUMMYFUNCTION("""COMPUTED_VALUE"""),"Kurochkin")</f>
        <v>Kurochkin</v>
      </c>
      <c r="P454" s="8">
        <f ca="1">IFERROR(__xludf.DUMMYFUNCTION("""COMPUTED_VALUE"""),84)</f>
        <v>84</v>
      </c>
      <c r="Q454" s="8">
        <f ca="1">IFERROR(__xludf.DUMMYFUNCTION("""COMPUTED_VALUE"""),8)</f>
        <v>8</v>
      </c>
      <c r="R454" s="8">
        <f ca="1">IFERROR(__xludf.DUMMYFUNCTION("""COMPUTED_VALUE"""),672)</f>
        <v>672</v>
      </c>
      <c r="S454" s="8">
        <f ca="1">IFERROR(__xludf.DUMMYFUNCTION("""COMPUTED_VALUE"""),12.8)</f>
        <v>12.8</v>
      </c>
      <c r="T454" s="8">
        <f ca="1">IFERROR(__xludf.DUMMYFUNCTION("""COMPUTED_VALUE"""),684.8)</f>
        <v>684.8</v>
      </c>
      <c r="U454" s="8"/>
      <c r="V454" s="8"/>
      <c r="W454" s="8"/>
      <c r="X454" s="8"/>
      <c r="Y454" s="8"/>
      <c r="Z454" s="37" t="s">
        <v>1</v>
      </c>
      <c r="AA454" s="37" t="str">
        <f ca="1">IFERROR(__xludf.DUMMYFUNCTION("""COMPUTED_VALUE"""),"27/10/2024")</f>
        <v>27/10/2024</v>
      </c>
      <c r="AB454" s="64">
        <f ca="1">IFERROR(__xludf.DUMMYFUNCTION("""COMPUTED_VALUE"""),0.767361111111111)</f>
        <v>0.76736111111111105</v>
      </c>
    </row>
    <row r="455" spans="1:28" ht="14.55" customHeight="1" x14ac:dyDescent="0.3">
      <c r="A455" s="8">
        <v>46</v>
      </c>
      <c r="B455" s="8"/>
      <c r="C455" s="8"/>
      <c r="D455" s="8" t="str">
        <f ca="1">IFERROR(__xludf.DUMMYFUNCTION("""COMPUTED_VALUE"""),"19/07/2024")</f>
        <v>19/07/2024</v>
      </c>
      <c r="E455" s="16" t="str">
        <f ca="1">IFERROR(__xludf.DUMMYFUNCTION("""COMPUTED_VALUE"""),"Player")</f>
        <v>Player</v>
      </c>
      <c r="F455" s="8" t="str">
        <f ca="1">IFERROR(__xludf.DUMMYFUNCTION("""COMPUTED_VALUE"""),"Maisuradze, Nino")</f>
        <v>Maisuradze, Nino</v>
      </c>
      <c r="G455" s="16" t="str">
        <f ca="1">IFERROR(__xludf.DUMMYFUNCTION("""COMPUTED_VALUE"""),"FRA")</f>
        <v>FRA</v>
      </c>
      <c r="H455" s="8"/>
      <c r="I455" s="8">
        <f ca="1">IFERROR(__xludf.DUMMYFUNCTION("""COMPUTED_VALUE"""),100)</f>
        <v>100</v>
      </c>
      <c r="J455" s="8"/>
      <c r="K455" s="8"/>
      <c r="L455" s="8" t="str">
        <f ca="1">IFERROR(__xludf.DUMMYFUNCTION("""COMPUTED_VALUE"""),"La Tour d'Ans-Loncin")</f>
        <v>La Tour d'Ans-Loncin</v>
      </c>
      <c r="M455" s="16" t="str">
        <f ca="1">IFERROR(__xludf.DUMMYFUNCTION("""COMPUTED_VALUE"""),"BEL")</f>
        <v>BEL</v>
      </c>
      <c r="N455" s="16" t="str">
        <f ca="1">IFERROR(__xludf.DUMMYFUNCTION("""COMPUTED_VALUE"""),"Fontana")</f>
        <v>Fontana</v>
      </c>
      <c r="O455" s="8"/>
      <c r="P455" s="8">
        <f ca="1">IFERROR(__xludf.DUMMYFUNCTION("""COMPUTED_VALUE"""),104)</f>
        <v>104</v>
      </c>
      <c r="Q455" s="8">
        <f ca="1">IFERROR(__xludf.DUMMYFUNCTION("""COMPUTED_VALUE"""),8)</f>
        <v>8</v>
      </c>
      <c r="R455" s="8">
        <f ca="1">IFERROR(__xludf.DUMMYFUNCTION("""COMPUTED_VALUE"""),832)</f>
        <v>832</v>
      </c>
      <c r="S455" s="8">
        <f ca="1">IFERROR(__xludf.DUMMYFUNCTION("""COMPUTED_VALUE"""),12.8)</f>
        <v>12.8</v>
      </c>
      <c r="T455" s="8">
        <f ca="1">IFERROR(__xludf.DUMMYFUNCTION("""COMPUTED_VALUE"""),844.8)</f>
        <v>844.8</v>
      </c>
      <c r="U455" s="8"/>
      <c r="V455" s="8"/>
      <c r="W455" s="8"/>
      <c r="X455" s="8"/>
      <c r="Y455" s="8"/>
      <c r="Z455" s="37" t="str">
        <f ca="1">IFERROR(__xludf.DUMMYFUNCTION("""COMPUTED_VALUE"""),"OS738")</f>
        <v>OS738</v>
      </c>
      <c r="AA455" s="37" t="str">
        <f ca="1">IFERROR(__xludf.DUMMYFUNCTION("""COMPUTED_VALUE"""),"27/10/2024")</f>
        <v>27/10/2024</v>
      </c>
      <c r="AB455" s="64">
        <f ca="1">IFERROR(__xludf.DUMMYFUNCTION("""COMPUTED_VALUE"""),0.770833333333333)</f>
        <v>0.77083333333333304</v>
      </c>
    </row>
    <row r="456" spans="1:28" ht="14.55" customHeight="1" x14ac:dyDescent="0.3">
      <c r="A456" s="8">
        <v>47</v>
      </c>
      <c r="B456" s="8"/>
      <c r="C456" s="8"/>
      <c r="D456" s="13">
        <f ca="1">IFERROR(__xludf.DUMMYFUNCTION("""COMPUTED_VALUE"""),45573)</f>
        <v>45573</v>
      </c>
      <c r="E456" s="16" t="str">
        <f ca="1">IFERROR(__xludf.DUMMYFUNCTION("""COMPUTED_VALUE"""),"Player")</f>
        <v>Player</v>
      </c>
      <c r="F456" s="8" t="str">
        <f ca="1">IFERROR(__xludf.DUMMYFUNCTION("""COMPUTED_VALUE"""),"Matnadze Bujiashvili, Ann")</f>
        <v>Matnadze Bujiashvili, Ann</v>
      </c>
      <c r="G456" s="16" t="str">
        <f ca="1">IFERROR(__xludf.DUMMYFUNCTION("""COMPUTED_VALUE"""),"ESP")</f>
        <v>ESP</v>
      </c>
      <c r="H456" s="8"/>
      <c r="I456" s="8">
        <f ca="1">IFERROR(__xludf.DUMMYFUNCTION("""COMPUTED_VALUE"""),100)</f>
        <v>100</v>
      </c>
      <c r="J456" s="8"/>
      <c r="K456" s="8"/>
      <c r="L456" s="8" t="str">
        <f ca="1">IFERROR(__xludf.DUMMYFUNCTION("""COMPUTED_VALUE"""),"Pluspion Wachtebeke")</f>
        <v>Pluspion Wachtebeke</v>
      </c>
      <c r="M456" s="16" t="str">
        <f ca="1">IFERROR(__xludf.DUMMYFUNCTION("""COMPUTED_VALUE"""),"BEL")</f>
        <v>BEL</v>
      </c>
      <c r="N456" s="16" t="str">
        <f ca="1">IFERROR(__xludf.DUMMYFUNCTION("""COMPUTED_VALUE"""),"Tonanti")</f>
        <v>Tonanti</v>
      </c>
      <c r="O456" s="8"/>
      <c r="P456" s="8">
        <f ca="1">IFERROR(__xludf.DUMMYFUNCTION("""COMPUTED_VALUE"""),108)</f>
        <v>108</v>
      </c>
      <c r="Q456" s="8">
        <f ca="1">IFERROR(__xludf.DUMMYFUNCTION("""COMPUTED_VALUE"""),8)</f>
        <v>8</v>
      </c>
      <c r="R456" s="8">
        <f ca="1">IFERROR(__xludf.DUMMYFUNCTION("""COMPUTED_VALUE"""),864)</f>
        <v>864</v>
      </c>
      <c r="S456" s="8">
        <f ca="1">IFERROR(__xludf.DUMMYFUNCTION("""COMPUTED_VALUE"""),12.8)</f>
        <v>12.8</v>
      </c>
      <c r="T456" s="8">
        <f ca="1">IFERROR(__xludf.DUMMYFUNCTION("""COMPUTED_VALUE"""),876.8)</f>
        <v>876.8</v>
      </c>
      <c r="U456" s="8"/>
      <c r="V456" s="8"/>
      <c r="W456" s="8"/>
      <c r="X456" s="8"/>
      <c r="Y456" s="8"/>
      <c r="Z456" s="37" t="str">
        <f ca="1">IFERROR(__xludf.DUMMYFUNCTION("""COMPUTED_VALUE"""),"OS 738")</f>
        <v>OS 738</v>
      </c>
      <c r="AA456" s="37" t="str">
        <f ca="1">IFERROR(__xludf.DUMMYFUNCTION("""COMPUTED_VALUE"""),"27/10/2024")</f>
        <v>27/10/2024</v>
      </c>
      <c r="AB456" s="64">
        <f ca="1">IFERROR(__xludf.DUMMYFUNCTION("""COMPUTED_VALUE"""),0.770833333333333)</f>
        <v>0.77083333333333304</v>
      </c>
    </row>
    <row r="457" spans="1:28" ht="14.55" customHeight="1" x14ac:dyDescent="0.3">
      <c r="A457" s="8">
        <v>48</v>
      </c>
      <c r="B457" s="8"/>
      <c r="C457" s="8"/>
      <c r="D457" s="13">
        <f ca="1">IFERROR(__xludf.DUMMYFUNCTION("""COMPUTED_VALUE"""),45572)</f>
        <v>45572</v>
      </c>
      <c r="E457" s="16" t="str">
        <f ca="1">IFERROR(__xludf.DUMMYFUNCTION("""COMPUTED_VALUE"""),"Player")</f>
        <v>Player</v>
      </c>
      <c r="F457" s="8" t="str">
        <f ca="1">IFERROR(__xludf.DUMMYFUNCTION("""COMPUTED_VALUE"""),"Cumming, Rhys")</f>
        <v>Cumming, Rhys</v>
      </c>
      <c r="G457" s="16" t="str">
        <f ca="1">IFERROR(__xludf.DUMMYFUNCTION("""COMPUTED_VALUE"""),"ENG")</f>
        <v>ENG</v>
      </c>
      <c r="H457" s="8"/>
      <c r="I457" s="8">
        <f ca="1">IFERROR(__xludf.DUMMYFUNCTION("""COMPUTED_VALUE"""),100)</f>
        <v>100</v>
      </c>
      <c r="J457" s="8"/>
      <c r="K457" s="8"/>
      <c r="L457" s="8" t="str">
        <f ca="1">IFERROR(__xludf.DUMMYFUNCTION("""COMPUTED_VALUE"""),"Sussex Martlets")</f>
        <v>Sussex Martlets</v>
      </c>
      <c r="M457" s="16" t="str">
        <f ca="1">IFERROR(__xludf.DUMMYFUNCTION("""COMPUTED_VALUE"""),"ENG")</f>
        <v>ENG</v>
      </c>
      <c r="N457" s="16" t="str">
        <f ca="1">IFERROR(__xludf.DUMMYFUNCTION("""COMPUTED_VALUE"""),"Tonanti")</f>
        <v>Tonanti</v>
      </c>
      <c r="O457" s="8" t="str">
        <f ca="1">IFERROR(__xludf.DUMMYFUNCTION("""COMPUTED_VALUE"""),"Willson, Ollie")</f>
        <v>Willson, Ollie</v>
      </c>
      <c r="P457" s="8">
        <f ca="1">IFERROR(__xludf.DUMMYFUNCTION("""COMPUTED_VALUE"""),85)</f>
        <v>85</v>
      </c>
      <c r="Q457" s="8">
        <f ca="1">IFERROR(__xludf.DUMMYFUNCTION("""COMPUTED_VALUE"""),8)</f>
        <v>8</v>
      </c>
      <c r="R457" s="8">
        <f ca="1">IFERROR(__xludf.DUMMYFUNCTION("""COMPUTED_VALUE"""),680)</f>
        <v>680</v>
      </c>
      <c r="S457" s="8">
        <f ca="1">IFERROR(__xludf.DUMMYFUNCTION("""COMPUTED_VALUE"""),12.8)</f>
        <v>12.8</v>
      </c>
      <c r="T457" s="8">
        <f ca="1">IFERROR(__xludf.DUMMYFUNCTION("""COMPUTED_VALUE"""),692.8)</f>
        <v>692.8</v>
      </c>
      <c r="U457" s="8"/>
      <c r="V457" s="8"/>
      <c r="W457" s="8" t="str">
        <f ca="1">IFERROR(__xludf.DUMMYFUNCTION("""COMPUTED_VALUE"""),"YES")</f>
        <v>YES</v>
      </c>
      <c r="X457" s="8"/>
      <c r="Y457" s="8"/>
      <c r="Z457" s="37" t="str">
        <f ca="1">IFERROR(__xludf.DUMMYFUNCTION("""COMPUTED_VALUE"""),"JU564")</f>
        <v>JU564</v>
      </c>
      <c r="AA457" s="37" t="str">
        <f ca="1">IFERROR(__xludf.DUMMYFUNCTION("""COMPUTED_VALUE"""),"27/10/2024")</f>
        <v>27/10/2024</v>
      </c>
      <c r="AB457" s="64">
        <f ca="1">IFERROR(__xludf.DUMMYFUNCTION("""COMPUTED_VALUE"""),0.770833333333333)</f>
        <v>0.77083333333333304</v>
      </c>
    </row>
    <row r="458" spans="1:28" ht="14.55" customHeight="1" x14ac:dyDescent="0.3">
      <c r="A458" s="8">
        <v>49</v>
      </c>
      <c r="B458" s="8"/>
      <c r="C458" s="8"/>
      <c r="D458" s="8" t="str">
        <f ca="1">IFERROR(__xludf.DUMMYFUNCTION("""COMPUTED_VALUE"""),"13/08/2024")</f>
        <v>13/08/2024</v>
      </c>
      <c r="E458" s="16" t="str">
        <f ca="1">IFERROR(__xludf.DUMMYFUNCTION("""COMPUTED_VALUE"""),"Player")</f>
        <v>Player</v>
      </c>
      <c r="F458" s="8" t="str">
        <f ca="1">IFERROR(__xludf.DUMMYFUNCTION("""COMPUTED_VALUE"""),"Krause, Benedict")</f>
        <v>Krause, Benedict</v>
      </c>
      <c r="G458" s="16" t="str">
        <f ca="1">IFERROR(__xludf.DUMMYFUNCTION("""COMPUTED_VALUE"""),"GER")</f>
        <v>GER</v>
      </c>
      <c r="H458" s="8"/>
      <c r="I458" s="8">
        <f ca="1">IFERROR(__xludf.DUMMYFUNCTION("""COMPUTED_VALUE"""),100)</f>
        <v>100</v>
      </c>
      <c r="J458" s="8"/>
      <c r="K458" s="8"/>
      <c r="L458" s="8" t="str">
        <f ca="1">IFERROR(__xludf.DUMMYFUNCTION("""COMPUTED_VALUE"""),"FC ST.Pauli 1910 eV Sabt")</f>
        <v>FC ST.Pauli 1910 eV Sabt</v>
      </c>
      <c r="M458" s="16" t="str">
        <f ca="1">IFERROR(__xludf.DUMMYFUNCTION("""COMPUTED_VALUE"""),"GER")</f>
        <v>GER</v>
      </c>
      <c r="N458" s="16" t="str">
        <f ca="1">IFERROR(__xludf.DUMMYFUNCTION("""COMPUTED_VALUE"""),"Fontana")</f>
        <v>Fontana</v>
      </c>
      <c r="O458" s="8" t="str">
        <f ca="1">IFERROR(__xludf.DUMMYFUNCTION("""COMPUTED_VALUE"""),"Jonah Krause")</f>
        <v>Jonah Krause</v>
      </c>
      <c r="P458" s="8">
        <f ca="1">IFERROR(__xludf.DUMMYFUNCTION("""COMPUTED_VALUE"""),84)</f>
        <v>84</v>
      </c>
      <c r="Q458" s="8">
        <f ca="1">IFERROR(__xludf.DUMMYFUNCTION("""COMPUTED_VALUE"""),8)</f>
        <v>8</v>
      </c>
      <c r="R458" s="8">
        <f ca="1">IFERROR(__xludf.DUMMYFUNCTION("""COMPUTED_VALUE"""),672)</f>
        <v>672</v>
      </c>
      <c r="S458" s="8">
        <f ca="1">IFERROR(__xludf.DUMMYFUNCTION("""COMPUTED_VALUE"""),12.8)</f>
        <v>12.8</v>
      </c>
      <c r="T458" s="8">
        <f ca="1">IFERROR(__xludf.DUMMYFUNCTION("""COMPUTED_VALUE"""),684.8)</f>
        <v>684.8</v>
      </c>
      <c r="U458" s="8"/>
      <c r="V458" s="8"/>
      <c r="W458" s="8"/>
      <c r="X458" s="8"/>
      <c r="Y458" s="8"/>
      <c r="Z458" s="37" t="str">
        <f ca="1">IFERROR(__xludf.DUMMYFUNCTION("""COMPUTED_VALUE"""),"W6 4009")</f>
        <v>W6 4009</v>
      </c>
      <c r="AA458" s="37" t="str">
        <f ca="1">IFERROR(__xludf.DUMMYFUNCTION("""COMPUTED_VALUE"""),"27/10/2024")</f>
        <v>27/10/2024</v>
      </c>
      <c r="AB458" s="64">
        <f ca="1">IFERROR(__xludf.DUMMYFUNCTION("""COMPUTED_VALUE"""),0.784722222222222)</f>
        <v>0.78472222222222199</v>
      </c>
    </row>
    <row r="459" spans="1:28" ht="14.55" customHeight="1" x14ac:dyDescent="0.3">
      <c r="A459" s="8">
        <v>50</v>
      </c>
      <c r="B459" s="8"/>
      <c r="C459" s="8"/>
      <c r="D459" s="8" t="str">
        <f ca="1">IFERROR(__xludf.DUMMYFUNCTION("""COMPUTED_VALUE"""),"13/08/2024")</f>
        <v>13/08/2024</v>
      </c>
      <c r="E459" s="16" t="str">
        <f ca="1">IFERROR(__xludf.DUMMYFUNCTION("""COMPUTED_VALUE"""),"Player")</f>
        <v>Player</v>
      </c>
      <c r="F459" s="8" t="str">
        <f ca="1">IFERROR(__xludf.DUMMYFUNCTION("""COMPUTED_VALUE"""),"Jahncke, Giso")</f>
        <v>Jahncke, Giso</v>
      </c>
      <c r="G459" s="16" t="str">
        <f ca="1">IFERROR(__xludf.DUMMYFUNCTION("""COMPUTED_VALUE"""),"GER")</f>
        <v>GER</v>
      </c>
      <c r="H459" s="8"/>
      <c r="I459" s="8">
        <f ca="1">IFERROR(__xludf.DUMMYFUNCTION("""COMPUTED_VALUE"""),100)</f>
        <v>100</v>
      </c>
      <c r="J459" s="8"/>
      <c r="K459" s="8"/>
      <c r="L459" s="8" t="str">
        <f ca="1">IFERROR(__xludf.DUMMYFUNCTION("""COMPUTED_VALUE"""),"FC ST.Pauli 1910 eV Sabt")</f>
        <v>FC ST.Pauli 1910 eV Sabt</v>
      </c>
      <c r="M459" s="16" t="str">
        <f ca="1">IFERROR(__xludf.DUMMYFUNCTION("""COMPUTED_VALUE"""),"GER")</f>
        <v>GER</v>
      </c>
      <c r="N459" s="16" t="str">
        <f ca="1">IFERROR(__xludf.DUMMYFUNCTION("""COMPUTED_VALUE"""),"Fontana")</f>
        <v>Fontana</v>
      </c>
      <c r="O459" s="8"/>
      <c r="P459" s="8">
        <f ca="1">IFERROR(__xludf.DUMMYFUNCTION("""COMPUTED_VALUE"""),104)</f>
        <v>104</v>
      </c>
      <c r="Q459" s="8">
        <f ca="1">IFERROR(__xludf.DUMMYFUNCTION("""COMPUTED_VALUE"""),8)</f>
        <v>8</v>
      </c>
      <c r="R459" s="8">
        <f ca="1">IFERROR(__xludf.DUMMYFUNCTION("""COMPUTED_VALUE"""),832)</f>
        <v>832</v>
      </c>
      <c r="S459" s="8">
        <f ca="1">IFERROR(__xludf.DUMMYFUNCTION("""COMPUTED_VALUE"""),12.8)</f>
        <v>12.8</v>
      </c>
      <c r="T459" s="8">
        <f ca="1">IFERROR(__xludf.DUMMYFUNCTION("""COMPUTED_VALUE"""),844.8)</f>
        <v>844.8</v>
      </c>
      <c r="U459" s="8"/>
      <c r="V459" s="8"/>
      <c r="W459" s="8"/>
      <c r="X459" s="8"/>
      <c r="Y459" s="8"/>
      <c r="Z459" s="37"/>
      <c r="AA459" s="37" t="str">
        <f ca="1">IFERROR(__xludf.DUMMYFUNCTION("""COMPUTED_VALUE"""),"27/10/2024")</f>
        <v>27/10/2024</v>
      </c>
      <c r="AB459" s="64">
        <f ca="1">IFERROR(__xludf.DUMMYFUNCTION("""COMPUTED_VALUE"""),0.784722222222222)</f>
        <v>0.78472222222222199</v>
      </c>
    </row>
    <row r="460" spans="1:28" ht="14.55" customHeight="1" x14ac:dyDescent="0.3">
      <c r="A460" s="8">
        <v>51</v>
      </c>
      <c r="B460" s="8"/>
      <c r="C460" s="8"/>
      <c r="D460" s="13">
        <f ca="1">IFERROR(__xludf.DUMMYFUNCTION("""COMPUTED_VALUE"""),45542)</f>
        <v>45542</v>
      </c>
      <c r="E460" s="16" t="str">
        <f ca="1">IFERROR(__xludf.DUMMYFUNCTION("""COMPUTED_VALUE"""),"Player")</f>
        <v>Player</v>
      </c>
      <c r="F460" s="8" t="str">
        <f ca="1">IFERROR(__xludf.DUMMYFUNCTION("""COMPUTED_VALUE"""),"Pryvalov, Ivan")</f>
        <v>Pryvalov, Ivan</v>
      </c>
      <c r="G460" s="16" t="str">
        <f ca="1">IFERROR(__xludf.DUMMYFUNCTION("""COMPUTED_VALUE"""),"GER")</f>
        <v>GER</v>
      </c>
      <c r="H460" s="8"/>
      <c r="I460" s="8">
        <f ca="1">IFERROR(__xludf.DUMMYFUNCTION("""COMPUTED_VALUE"""),100)</f>
        <v>100</v>
      </c>
      <c r="J460" s="8"/>
      <c r="K460" s="8"/>
      <c r="L460" s="8" t="str">
        <f ca="1">IFERROR(__xludf.DUMMYFUNCTION("""COMPUTED_VALUE"""),"Gambit Bonnevoie II")</f>
        <v>Gambit Bonnevoie II</v>
      </c>
      <c r="M460" s="16" t="str">
        <f ca="1">IFERROR(__xludf.DUMMYFUNCTION("""COMPUTED_VALUE"""),"LUX")</f>
        <v>LUX</v>
      </c>
      <c r="N460" s="16" t="str">
        <f ca="1">IFERROR(__xludf.DUMMYFUNCTION("""COMPUTED_VALUE"""),"Fontana")</f>
        <v>Fontana</v>
      </c>
      <c r="O460" s="8"/>
      <c r="P460" s="8">
        <f ca="1">IFERROR(__xludf.DUMMYFUNCTION("""COMPUTED_VALUE"""),104)</f>
        <v>104</v>
      </c>
      <c r="Q460" s="8">
        <f ca="1">IFERROR(__xludf.DUMMYFUNCTION("""COMPUTED_VALUE"""),8)</f>
        <v>8</v>
      </c>
      <c r="R460" s="8">
        <f ca="1">IFERROR(__xludf.DUMMYFUNCTION("""COMPUTED_VALUE"""),832)</f>
        <v>832</v>
      </c>
      <c r="S460" s="8">
        <f ca="1">IFERROR(__xludf.DUMMYFUNCTION("""COMPUTED_VALUE"""),12.8)</f>
        <v>12.8</v>
      </c>
      <c r="T460" s="8">
        <f ca="1">IFERROR(__xludf.DUMMYFUNCTION("""COMPUTED_VALUE"""),844.8)</f>
        <v>844.8</v>
      </c>
      <c r="U460" s="8"/>
      <c r="V460" s="8"/>
      <c r="W460" s="8"/>
      <c r="X460" s="8"/>
      <c r="Y460" s="8"/>
      <c r="Z460" s="37" t="str">
        <f ca="1">IFERROR(__xludf.DUMMYFUNCTION("""COMPUTED_VALUE"""),"W6 4009")</f>
        <v>W6 4009</v>
      </c>
      <c r="AA460" s="37" t="str">
        <f ca="1">IFERROR(__xludf.DUMMYFUNCTION("""COMPUTED_VALUE"""),"27/10/2024")</f>
        <v>27/10/2024</v>
      </c>
      <c r="AB460" s="64">
        <f ca="1">IFERROR(__xludf.DUMMYFUNCTION("""COMPUTED_VALUE"""),0.784722222222222)</f>
        <v>0.78472222222222199</v>
      </c>
    </row>
    <row r="461" spans="1:28" ht="14.55" customHeight="1" x14ac:dyDescent="0.3">
      <c r="A461" s="8">
        <v>52</v>
      </c>
      <c r="B461" s="8"/>
      <c r="C461" s="8"/>
      <c r="D461" s="8" t="str">
        <f ca="1">IFERROR(__xludf.DUMMYFUNCTION("""COMPUTED_VALUE"""),"15/08/2024")</f>
        <v>15/08/2024</v>
      </c>
      <c r="E461" s="16" t="str">
        <f ca="1">IFERROR(__xludf.DUMMYFUNCTION("""COMPUTED_VALUE"""),"Player")</f>
        <v>Player</v>
      </c>
      <c r="F461" s="8" t="str">
        <f ca="1">IFERROR(__xludf.DUMMYFUNCTION("""COMPUTED_VALUE"""),"Ermitsch, Magnus")</f>
        <v>Ermitsch, Magnus</v>
      </c>
      <c r="G461" s="16" t="str">
        <f ca="1">IFERROR(__xludf.DUMMYFUNCTION("""COMPUTED_VALUE"""),"GER")</f>
        <v>GER</v>
      </c>
      <c r="H461" s="8"/>
      <c r="I461" s="8">
        <f ca="1">IFERROR(__xludf.DUMMYFUNCTION("""COMPUTED_VALUE"""),100)</f>
        <v>100</v>
      </c>
      <c r="J461" s="8"/>
      <c r="K461" s="8"/>
      <c r="L461" s="8" t="str">
        <f ca="1">IFERROR(__xludf.DUMMYFUNCTION("""COMPUTED_VALUE"""),"SK Doppelbauer Kiel")</f>
        <v>SK Doppelbauer Kiel</v>
      </c>
      <c r="M461" s="16" t="str">
        <f ca="1">IFERROR(__xludf.DUMMYFUNCTION("""COMPUTED_VALUE"""),"GER")</f>
        <v>GER</v>
      </c>
      <c r="N461" s="16" t="str">
        <f ca="1">IFERROR(__xludf.DUMMYFUNCTION("""COMPUTED_VALUE"""),"Tonanti")</f>
        <v>Tonanti</v>
      </c>
      <c r="O461" s="8" t="str">
        <f ca="1">IFERROR(__xludf.DUMMYFUNCTION("""COMPUTED_VALUE"""),"Braeutigam, Alexander")</f>
        <v>Braeutigam, Alexander</v>
      </c>
      <c r="P461" s="8">
        <f ca="1">IFERROR(__xludf.DUMMYFUNCTION("""COMPUTED_VALUE"""),84)</f>
        <v>84</v>
      </c>
      <c r="Q461" s="8">
        <f ca="1">IFERROR(__xludf.DUMMYFUNCTION("""COMPUTED_VALUE"""),8)</f>
        <v>8</v>
      </c>
      <c r="R461" s="8">
        <f ca="1">IFERROR(__xludf.DUMMYFUNCTION("""COMPUTED_VALUE"""),672)</f>
        <v>672</v>
      </c>
      <c r="S461" s="8">
        <f ca="1">IFERROR(__xludf.DUMMYFUNCTION("""COMPUTED_VALUE"""),12.8)</f>
        <v>12.8</v>
      </c>
      <c r="T461" s="8">
        <f ca="1">IFERROR(__xludf.DUMMYFUNCTION("""COMPUTED_VALUE"""),684.8)</f>
        <v>684.8</v>
      </c>
      <c r="U461" s="8"/>
      <c r="V461" s="8"/>
      <c r="W461" s="8"/>
      <c r="X461" s="8"/>
      <c r="Y461" s="8"/>
      <c r="Z461" s="37" t="str">
        <f ca="1">IFERROR(__xludf.DUMMYFUNCTION("""COMPUTED_VALUE"""),"W6 4009")</f>
        <v>W6 4009</v>
      </c>
      <c r="AA461" s="37" t="str">
        <f ca="1">IFERROR(__xludf.DUMMYFUNCTION("""COMPUTED_VALUE"""),"27/10/2024")</f>
        <v>27/10/2024</v>
      </c>
      <c r="AB461" s="64">
        <f ca="1">IFERROR(__xludf.DUMMYFUNCTION("""COMPUTED_VALUE"""),0.784722222222222)</f>
        <v>0.78472222222222199</v>
      </c>
    </row>
    <row r="462" spans="1:28" ht="14.55" customHeight="1" x14ac:dyDescent="0.3">
      <c r="A462" s="8">
        <v>53</v>
      </c>
      <c r="B462" s="8"/>
      <c r="C462" s="8"/>
      <c r="D462" s="8" t="str">
        <f ca="1">IFERROR(__xludf.DUMMYFUNCTION("""COMPUTED_VALUE"""),"15/08/2024")</f>
        <v>15/08/2024</v>
      </c>
      <c r="E462" s="16" t="str">
        <f ca="1">IFERROR(__xludf.DUMMYFUNCTION("""COMPUTED_VALUE"""),"Player")</f>
        <v>Player</v>
      </c>
      <c r="F462" s="8" t="str">
        <f ca="1">IFERROR(__xludf.DUMMYFUNCTION("""COMPUTED_VALUE"""),"Braeutigam, Alexander")</f>
        <v>Braeutigam, Alexander</v>
      </c>
      <c r="G462" s="16" t="str">
        <f ca="1">IFERROR(__xludf.DUMMYFUNCTION("""COMPUTED_VALUE"""),"GER")</f>
        <v>GER</v>
      </c>
      <c r="H462" s="8"/>
      <c r="I462" s="8">
        <f ca="1">IFERROR(__xludf.DUMMYFUNCTION("""COMPUTED_VALUE"""),100)</f>
        <v>100</v>
      </c>
      <c r="J462" s="8"/>
      <c r="K462" s="8"/>
      <c r="L462" s="8" t="str">
        <f ca="1">IFERROR(__xludf.DUMMYFUNCTION("""COMPUTED_VALUE"""),"SK Doppelbauer Kiel")</f>
        <v>SK Doppelbauer Kiel</v>
      </c>
      <c r="M462" s="16" t="str">
        <f ca="1">IFERROR(__xludf.DUMMYFUNCTION("""COMPUTED_VALUE"""),"GER")</f>
        <v>GER</v>
      </c>
      <c r="N462" s="16" t="str">
        <f ca="1">IFERROR(__xludf.DUMMYFUNCTION("""COMPUTED_VALUE"""),"Tonanti")</f>
        <v>Tonanti</v>
      </c>
      <c r="O462" s="8" t="str">
        <f ca="1">IFERROR(__xludf.DUMMYFUNCTION("""COMPUTED_VALUE"""),"Ermitsch, Magnus")</f>
        <v>Ermitsch, Magnus</v>
      </c>
      <c r="P462" s="8">
        <f ca="1">IFERROR(__xludf.DUMMYFUNCTION("""COMPUTED_VALUE"""),84)</f>
        <v>84</v>
      </c>
      <c r="Q462" s="8">
        <f ca="1">IFERROR(__xludf.DUMMYFUNCTION("""COMPUTED_VALUE"""),8)</f>
        <v>8</v>
      </c>
      <c r="R462" s="8">
        <f ca="1">IFERROR(__xludf.DUMMYFUNCTION("""COMPUTED_VALUE"""),672)</f>
        <v>672</v>
      </c>
      <c r="S462" s="8">
        <f ca="1">IFERROR(__xludf.DUMMYFUNCTION("""COMPUTED_VALUE"""),12.8)</f>
        <v>12.8</v>
      </c>
      <c r="T462" s="8">
        <f ca="1">IFERROR(__xludf.DUMMYFUNCTION("""COMPUTED_VALUE"""),684.8)</f>
        <v>684.8</v>
      </c>
      <c r="U462" s="8"/>
      <c r="V462" s="8"/>
      <c r="W462" s="8"/>
      <c r="X462" s="8"/>
      <c r="Y462" s="8"/>
      <c r="Z462" s="37" t="str">
        <f ca="1">IFERROR(__xludf.DUMMYFUNCTION("""COMPUTED_VALUE"""),"W6 4009")</f>
        <v>W6 4009</v>
      </c>
      <c r="AA462" s="37" t="str">
        <f ca="1">IFERROR(__xludf.DUMMYFUNCTION("""COMPUTED_VALUE"""),"27/10/2024")</f>
        <v>27/10/2024</v>
      </c>
      <c r="AB462" s="64">
        <f ca="1">IFERROR(__xludf.DUMMYFUNCTION("""COMPUTED_VALUE"""),0.784722222222222)</f>
        <v>0.78472222222222199</v>
      </c>
    </row>
    <row r="463" spans="1:28" ht="14.55" customHeight="1" x14ac:dyDescent="0.3">
      <c r="A463" s="8">
        <v>54</v>
      </c>
      <c r="B463" s="8"/>
      <c r="C463" s="8"/>
      <c r="D463" s="8" t="str">
        <f ca="1">IFERROR(__xludf.DUMMYFUNCTION("""COMPUTED_VALUE"""),"15/08/2024")</f>
        <v>15/08/2024</v>
      </c>
      <c r="E463" s="16" t="str">
        <f ca="1">IFERROR(__xludf.DUMMYFUNCTION("""COMPUTED_VALUE"""),"Player")</f>
        <v>Player</v>
      </c>
      <c r="F463" s="8" t="str">
        <f ca="1">IFERROR(__xludf.DUMMYFUNCTION("""COMPUTED_VALUE"""),"Stegert, Jonas")</f>
        <v>Stegert, Jonas</v>
      </c>
      <c r="G463" s="16" t="str">
        <f ca="1">IFERROR(__xludf.DUMMYFUNCTION("""COMPUTED_VALUE"""),"GER")</f>
        <v>GER</v>
      </c>
      <c r="H463" s="8"/>
      <c r="I463" s="8">
        <f ca="1">IFERROR(__xludf.DUMMYFUNCTION("""COMPUTED_VALUE"""),100)</f>
        <v>100</v>
      </c>
      <c r="J463" s="8"/>
      <c r="K463" s="8"/>
      <c r="L463" s="8" t="str">
        <f ca="1">IFERROR(__xludf.DUMMYFUNCTION("""COMPUTED_VALUE"""),"SK Doppelbauer Kiel")</f>
        <v>SK Doppelbauer Kiel</v>
      </c>
      <c r="M463" s="16" t="str">
        <f ca="1">IFERROR(__xludf.DUMMYFUNCTION("""COMPUTED_VALUE"""),"GER")</f>
        <v>GER</v>
      </c>
      <c r="N463" s="16" t="str">
        <f ca="1">IFERROR(__xludf.DUMMYFUNCTION("""COMPUTED_VALUE"""),"Tonanti")</f>
        <v>Tonanti</v>
      </c>
      <c r="O463" s="8"/>
      <c r="P463" s="8">
        <f ca="1">IFERROR(__xludf.DUMMYFUNCTION("""COMPUTED_VALUE"""),104)</f>
        <v>104</v>
      </c>
      <c r="Q463" s="8">
        <f ca="1">IFERROR(__xludf.DUMMYFUNCTION("""COMPUTED_VALUE"""),8)</f>
        <v>8</v>
      </c>
      <c r="R463" s="8">
        <f ca="1">IFERROR(__xludf.DUMMYFUNCTION("""COMPUTED_VALUE"""),832)</f>
        <v>832</v>
      </c>
      <c r="S463" s="8">
        <f ca="1">IFERROR(__xludf.DUMMYFUNCTION("""COMPUTED_VALUE"""),12.8)</f>
        <v>12.8</v>
      </c>
      <c r="T463" s="8">
        <f ca="1">IFERROR(__xludf.DUMMYFUNCTION("""COMPUTED_VALUE"""),844.8)</f>
        <v>844.8</v>
      </c>
      <c r="U463" s="8"/>
      <c r="V463" s="8"/>
      <c r="W463" s="8"/>
      <c r="X463" s="8"/>
      <c r="Y463" s="8"/>
      <c r="Z463" s="37" t="str">
        <f ca="1">IFERROR(__xludf.DUMMYFUNCTION("""COMPUTED_VALUE"""),"W6 4009")</f>
        <v>W6 4009</v>
      </c>
      <c r="AA463" s="37" t="str">
        <f ca="1">IFERROR(__xludf.DUMMYFUNCTION("""COMPUTED_VALUE"""),"27/10/2024")</f>
        <v>27/10/2024</v>
      </c>
      <c r="AB463" s="64">
        <f ca="1">IFERROR(__xludf.DUMMYFUNCTION("""COMPUTED_VALUE"""),0.784722222222222)</f>
        <v>0.78472222222222199</v>
      </c>
    </row>
    <row r="464" spans="1:28" ht="14.55" customHeight="1" x14ac:dyDescent="0.3">
      <c r="A464" s="8">
        <v>55</v>
      </c>
      <c r="B464" s="8"/>
      <c r="C464" s="8"/>
      <c r="D464" s="8" t="str">
        <f ca="1">IFERROR(__xludf.DUMMYFUNCTION("""COMPUTED_VALUE"""),"15/08/2024")</f>
        <v>15/08/2024</v>
      </c>
      <c r="E464" s="16" t="s">
        <v>0</v>
      </c>
      <c r="F464" s="8" t="str">
        <f ca="1">IFERROR(__xludf.DUMMYFUNCTION("""COMPUTED_VALUE"""),"Ermitsch, Michael")</f>
        <v>Ermitsch, Michael</v>
      </c>
      <c r="G464" s="16" t="str">
        <f ca="1">IFERROR(__xludf.DUMMYFUNCTION("""COMPUTED_VALUE"""),"GER")</f>
        <v>GER</v>
      </c>
      <c r="H464" s="8"/>
      <c r="I464" s="8">
        <f ca="1">IFERROR(__xludf.DUMMYFUNCTION("""COMPUTED_VALUE"""),100)</f>
        <v>100</v>
      </c>
      <c r="J464" s="8"/>
      <c r="K464" s="8"/>
      <c r="L464" s="8" t="str">
        <f ca="1">IFERROR(__xludf.DUMMYFUNCTION("""COMPUTED_VALUE"""),"SK Doppelbauer Kiel")</f>
        <v>SK Doppelbauer Kiel</v>
      </c>
      <c r="M464" s="16" t="str">
        <f ca="1">IFERROR(__xludf.DUMMYFUNCTION("""COMPUTED_VALUE"""),"GER")</f>
        <v>GER</v>
      </c>
      <c r="N464" s="16" t="str">
        <f ca="1">IFERROR(__xludf.DUMMYFUNCTION("""COMPUTED_VALUE"""),"Tonanti")</f>
        <v>Tonanti</v>
      </c>
      <c r="O464" s="8"/>
      <c r="P464" s="8">
        <f ca="1">IFERROR(__xludf.DUMMYFUNCTION("""COMPUTED_VALUE"""),104)</f>
        <v>104</v>
      </c>
      <c r="Q464" s="8">
        <f ca="1">IFERROR(__xludf.DUMMYFUNCTION("""COMPUTED_VALUE"""),8)</f>
        <v>8</v>
      </c>
      <c r="R464" s="8">
        <f ca="1">IFERROR(__xludf.DUMMYFUNCTION("""COMPUTED_VALUE"""),832)</f>
        <v>832</v>
      </c>
      <c r="S464" s="8">
        <f ca="1">IFERROR(__xludf.DUMMYFUNCTION("""COMPUTED_VALUE"""),12.8)</f>
        <v>12.8</v>
      </c>
      <c r="T464" s="8">
        <f ca="1">IFERROR(__xludf.DUMMYFUNCTION("""COMPUTED_VALUE"""),844.8)</f>
        <v>844.8</v>
      </c>
      <c r="U464" s="8"/>
      <c r="V464" s="8"/>
      <c r="W464" s="8"/>
      <c r="X464" s="8"/>
      <c r="Y464" s="8"/>
      <c r="Z464" s="37" t="str">
        <f ca="1">IFERROR(__xludf.DUMMYFUNCTION("""COMPUTED_VALUE"""),"W6 4009")</f>
        <v>W6 4009</v>
      </c>
      <c r="AA464" s="37" t="str">
        <f ca="1">IFERROR(__xludf.DUMMYFUNCTION("""COMPUTED_VALUE"""),"27/10/2024")</f>
        <v>27/10/2024</v>
      </c>
      <c r="AB464" s="64">
        <f ca="1">IFERROR(__xludf.DUMMYFUNCTION("""COMPUTED_VALUE"""),0.784722222222222)</f>
        <v>0.78472222222222199</v>
      </c>
    </row>
    <row r="465" spans="1:28" ht="14.55" customHeight="1" x14ac:dyDescent="0.3">
      <c r="A465" s="8">
        <v>56</v>
      </c>
      <c r="B465" s="8"/>
      <c r="C465" s="8"/>
      <c r="D465" s="8" t="str">
        <f ca="1">IFERROR(__xludf.DUMMYFUNCTION("""COMPUTED_VALUE"""),"15/08/2024")</f>
        <v>15/08/2024</v>
      </c>
      <c r="E465" s="16" t="str">
        <f ca="1">IFERROR(__xludf.DUMMYFUNCTION("""COMPUTED_VALUE"""),"Player")</f>
        <v>Player</v>
      </c>
      <c r="F465" s="8" t="str">
        <f ca="1">IFERROR(__xludf.DUMMYFUNCTION("""COMPUTED_VALUE"""),"Kucuksari, Kaan")</f>
        <v>Kucuksari, Kaan</v>
      </c>
      <c r="G465" s="16" t="str">
        <f ca="1">IFERROR(__xludf.DUMMYFUNCTION("""COMPUTED_VALUE"""),"SWE")</f>
        <v>SWE</v>
      </c>
      <c r="H465" s="8"/>
      <c r="I465" s="8">
        <f ca="1">IFERROR(__xludf.DUMMYFUNCTION("""COMPUTED_VALUE"""),100)</f>
        <v>100</v>
      </c>
      <c r="J465" s="8"/>
      <c r="K465" s="8"/>
      <c r="L465" s="8" t="str">
        <f ca="1">IFERROR(__xludf.DUMMYFUNCTION("""COMPUTED_VALUE"""),"Lunds ASK")</f>
        <v>Lunds ASK</v>
      </c>
      <c r="M465" s="16" t="str">
        <f ca="1">IFERROR(__xludf.DUMMYFUNCTION("""COMPUTED_VALUE"""),"SWE")</f>
        <v>SWE</v>
      </c>
      <c r="N465" s="16" t="str">
        <f ca="1">IFERROR(__xludf.DUMMYFUNCTION("""COMPUTED_VALUE"""),"Tonanti")</f>
        <v>Tonanti</v>
      </c>
      <c r="O465" s="8"/>
      <c r="P465" s="8">
        <f ca="1">IFERROR(__xludf.DUMMYFUNCTION("""COMPUTED_VALUE"""),85)</f>
        <v>85</v>
      </c>
      <c r="Q465" s="8">
        <f ca="1">IFERROR(__xludf.DUMMYFUNCTION("""COMPUTED_VALUE"""),8)</f>
        <v>8</v>
      </c>
      <c r="R465" s="8">
        <f ca="1">IFERROR(__xludf.DUMMYFUNCTION("""COMPUTED_VALUE"""),680)</f>
        <v>680</v>
      </c>
      <c r="S465" s="8">
        <f ca="1">IFERROR(__xludf.DUMMYFUNCTION("""COMPUTED_VALUE"""),12.8)</f>
        <v>12.8</v>
      </c>
      <c r="T465" s="8">
        <f ca="1">IFERROR(__xludf.DUMMYFUNCTION("""COMPUTED_VALUE"""),692.8)</f>
        <v>692.8</v>
      </c>
      <c r="U465" s="8"/>
      <c r="V465" s="8"/>
      <c r="W465" s="8"/>
      <c r="X465" s="8"/>
      <c r="Y465" s="8"/>
      <c r="Z465" s="37" t="str">
        <f ca="1">IFERROR(__xludf.DUMMYFUNCTION("""COMPUTED_VALUE"""),"W6 4155")</f>
        <v>W6 4155</v>
      </c>
      <c r="AA465" s="37" t="str">
        <f ca="1">IFERROR(__xludf.DUMMYFUNCTION("""COMPUTED_VALUE"""),"27/10/2024")</f>
        <v>27/10/2024</v>
      </c>
      <c r="AB465" s="64">
        <f ca="1">IFERROR(__xludf.DUMMYFUNCTION("""COMPUTED_VALUE"""),0.805555555555555)</f>
        <v>0.80555555555555503</v>
      </c>
    </row>
    <row r="466" spans="1:28" ht="14.55" customHeight="1" x14ac:dyDescent="0.3">
      <c r="A466" s="8">
        <v>57</v>
      </c>
      <c r="B466" s="8"/>
      <c r="C466" s="8"/>
      <c r="D466" s="8" t="str">
        <f ca="1">IFERROR(__xludf.DUMMYFUNCTION("""COMPUTED_VALUE"""),"15/08/2024")</f>
        <v>15/08/2024</v>
      </c>
      <c r="E466" s="16" t="str">
        <f ca="1">IFERROR(__xludf.DUMMYFUNCTION("""COMPUTED_VALUE"""),"Player")</f>
        <v>Player</v>
      </c>
      <c r="F466" s="8" t="str">
        <f ca="1">IFERROR(__xludf.DUMMYFUNCTION("""COMPUTED_VALUE"""),"Pantzar, Milton")</f>
        <v>Pantzar, Milton</v>
      </c>
      <c r="G466" s="16" t="str">
        <f ca="1">IFERROR(__xludf.DUMMYFUNCTION("""COMPUTED_VALUE"""),"SWE")</f>
        <v>SWE</v>
      </c>
      <c r="H466" s="8"/>
      <c r="I466" s="8">
        <f ca="1">IFERROR(__xludf.DUMMYFUNCTION("""COMPUTED_VALUE"""),100)</f>
        <v>100</v>
      </c>
      <c r="J466" s="8"/>
      <c r="K466" s="8"/>
      <c r="L466" s="8" t="str">
        <f ca="1">IFERROR(__xludf.DUMMYFUNCTION("""COMPUTED_VALUE"""),"Lunds ASK")</f>
        <v>Lunds ASK</v>
      </c>
      <c r="M466" s="16" t="str">
        <f ca="1">IFERROR(__xludf.DUMMYFUNCTION("""COMPUTED_VALUE"""),"SWE")</f>
        <v>SWE</v>
      </c>
      <c r="N466" s="16" t="str">
        <f ca="1">IFERROR(__xludf.DUMMYFUNCTION("""COMPUTED_VALUE"""),"Tonanti")</f>
        <v>Tonanti</v>
      </c>
      <c r="O466" s="8"/>
      <c r="P466" s="8">
        <f ca="1">IFERROR(__xludf.DUMMYFUNCTION("""COMPUTED_VALUE"""),85)</f>
        <v>85</v>
      </c>
      <c r="Q466" s="8">
        <f ca="1">IFERROR(__xludf.DUMMYFUNCTION("""COMPUTED_VALUE"""),8)</f>
        <v>8</v>
      </c>
      <c r="R466" s="8">
        <f ca="1">IFERROR(__xludf.DUMMYFUNCTION("""COMPUTED_VALUE"""),680)</f>
        <v>680</v>
      </c>
      <c r="S466" s="8">
        <f ca="1">IFERROR(__xludf.DUMMYFUNCTION("""COMPUTED_VALUE"""),12.8)</f>
        <v>12.8</v>
      </c>
      <c r="T466" s="8">
        <f ca="1">IFERROR(__xludf.DUMMYFUNCTION("""COMPUTED_VALUE"""),692.8)</f>
        <v>692.8</v>
      </c>
      <c r="U466" s="8"/>
      <c r="V466" s="8"/>
      <c r="W466" s="8"/>
      <c r="X466" s="8"/>
      <c r="Y466" s="8"/>
      <c r="Z466" s="37" t="str">
        <f ca="1">IFERROR(__xludf.DUMMYFUNCTION("""COMPUTED_VALUE"""),"W6 4155")</f>
        <v>W6 4155</v>
      </c>
      <c r="AA466" s="37" t="str">
        <f ca="1">IFERROR(__xludf.DUMMYFUNCTION("""COMPUTED_VALUE"""),"27/10/2024")</f>
        <v>27/10/2024</v>
      </c>
      <c r="AB466" s="64">
        <f ca="1">IFERROR(__xludf.DUMMYFUNCTION("""COMPUTED_VALUE"""),0.805555555555555)</f>
        <v>0.80555555555555503</v>
      </c>
    </row>
    <row r="467" spans="1:28" ht="14.55" customHeight="1" x14ac:dyDescent="0.3">
      <c r="A467" s="8">
        <v>58</v>
      </c>
      <c r="B467" s="8"/>
      <c r="C467" s="8"/>
      <c r="D467" s="8" t="str">
        <f ca="1">IFERROR(__xludf.DUMMYFUNCTION("""COMPUTED_VALUE"""),"15/08/2024")</f>
        <v>15/08/2024</v>
      </c>
      <c r="E467" s="16" t="str">
        <f ca="1">IFERROR(__xludf.DUMMYFUNCTION("""COMPUTED_VALUE"""),"Player")</f>
        <v>Player</v>
      </c>
      <c r="F467" s="8" t="str">
        <f ca="1">IFERROR(__xludf.DUMMYFUNCTION("""COMPUTED_VALUE"""),"Ahlander, Bjorn")</f>
        <v>Ahlander, Bjorn</v>
      </c>
      <c r="G467" s="16" t="str">
        <f ca="1">IFERROR(__xludf.DUMMYFUNCTION("""COMPUTED_VALUE"""),"SWE")</f>
        <v>SWE</v>
      </c>
      <c r="H467" s="8"/>
      <c r="I467" s="8">
        <f ca="1">IFERROR(__xludf.DUMMYFUNCTION("""COMPUTED_VALUE"""),100)</f>
        <v>100</v>
      </c>
      <c r="J467" s="8"/>
      <c r="K467" s="8"/>
      <c r="L467" s="8" t="str">
        <f ca="1">IFERROR(__xludf.DUMMYFUNCTION("""COMPUTED_VALUE"""),"Lunds ASK")</f>
        <v>Lunds ASK</v>
      </c>
      <c r="M467" s="16" t="str">
        <f ca="1">IFERROR(__xludf.DUMMYFUNCTION("""COMPUTED_VALUE"""),"SWE")</f>
        <v>SWE</v>
      </c>
      <c r="N467" s="16" t="str">
        <f ca="1">IFERROR(__xludf.DUMMYFUNCTION("""COMPUTED_VALUE"""),"Tonanti")</f>
        <v>Tonanti</v>
      </c>
      <c r="O467" s="8"/>
      <c r="P467" s="8">
        <f ca="1">IFERROR(__xludf.DUMMYFUNCTION("""COMPUTED_VALUE"""),85)</f>
        <v>85</v>
      </c>
      <c r="Q467" s="8">
        <f ca="1">IFERROR(__xludf.DUMMYFUNCTION("""COMPUTED_VALUE"""),8)</f>
        <v>8</v>
      </c>
      <c r="R467" s="8">
        <f ca="1">IFERROR(__xludf.DUMMYFUNCTION("""COMPUTED_VALUE"""),680)</f>
        <v>680</v>
      </c>
      <c r="S467" s="8">
        <f ca="1">IFERROR(__xludf.DUMMYFUNCTION("""COMPUTED_VALUE"""),12.8)</f>
        <v>12.8</v>
      </c>
      <c r="T467" s="8">
        <f ca="1">IFERROR(__xludf.DUMMYFUNCTION("""COMPUTED_VALUE"""),692.8)</f>
        <v>692.8</v>
      </c>
      <c r="U467" s="8"/>
      <c r="V467" s="8"/>
      <c r="W467" s="8"/>
      <c r="X467" s="8"/>
      <c r="Y467" s="8"/>
      <c r="Z467" s="37" t="str">
        <f ca="1">IFERROR(__xludf.DUMMYFUNCTION("""COMPUTED_VALUE"""),"W6 4155")</f>
        <v>W6 4155</v>
      </c>
      <c r="AA467" s="37" t="str">
        <f ca="1">IFERROR(__xludf.DUMMYFUNCTION("""COMPUTED_VALUE"""),"27/10/2024")</f>
        <v>27/10/2024</v>
      </c>
      <c r="AB467" s="64">
        <f ca="1">IFERROR(__xludf.DUMMYFUNCTION("""COMPUTED_VALUE"""),0.805555555555555)</f>
        <v>0.80555555555555503</v>
      </c>
    </row>
    <row r="468" spans="1:28" ht="14.55" customHeight="1" x14ac:dyDescent="0.3">
      <c r="A468" s="8">
        <v>59</v>
      </c>
      <c r="B468" s="8"/>
      <c r="C468" s="8"/>
      <c r="D468" s="8" t="str">
        <f ca="1">IFERROR(__xludf.DUMMYFUNCTION("""COMPUTED_VALUE"""),"15/08/2024")</f>
        <v>15/08/2024</v>
      </c>
      <c r="E468" s="16" t="str">
        <f ca="1">IFERROR(__xludf.DUMMYFUNCTION("""COMPUTED_VALUE"""),"Player")</f>
        <v>Player</v>
      </c>
      <c r="F468" s="8" t="str">
        <f ca="1">IFERROR(__xludf.DUMMYFUNCTION("""COMPUTED_VALUE"""),"Nord, Alexander")</f>
        <v>Nord, Alexander</v>
      </c>
      <c r="G468" s="16" t="str">
        <f ca="1">IFERROR(__xludf.DUMMYFUNCTION("""COMPUTED_VALUE"""),"SWE")</f>
        <v>SWE</v>
      </c>
      <c r="H468" s="8"/>
      <c r="I468" s="8">
        <f ca="1">IFERROR(__xludf.DUMMYFUNCTION("""COMPUTED_VALUE"""),100)</f>
        <v>100</v>
      </c>
      <c r="J468" s="8"/>
      <c r="K468" s="8"/>
      <c r="L468" s="8" t="str">
        <f ca="1">IFERROR(__xludf.DUMMYFUNCTION("""COMPUTED_VALUE"""),"Lunds ASK")</f>
        <v>Lunds ASK</v>
      </c>
      <c r="M468" s="16" t="str">
        <f ca="1">IFERROR(__xludf.DUMMYFUNCTION("""COMPUTED_VALUE"""),"SWE")</f>
        <v>SWE</v>
      </c>
      <c r="N468" s="16" t="str">
        <f ca="1">IFERROR(__xludf.DUMMYFUNCTION("""COMPUTED_VALUE"""),"Tonanti")</f>
        <v>Tonanti</v>
      </c>
      <c r="O468" s="8"/>
      <c r="P468" s="8">
        <f ca="1">IFERROR(__xludf.DUMMYFUNCTION("""COMPUTED_VALUE"""),85)</f>
        <v>85</v>
      </c>
      <c r="Q468" s="8">
        <f ca="1">IFERROR(__xludf.DUMMYFUNCTION("""COMPUTED_VALUE"""),8)</f>
        <v>8</v>
      </c>
      <c r="R468" s="8">
        <f ca="1">IFERROR(__xludf.DUMMYFUNCTION("""COMPUTED_VALUE"""),680)</f>
        <v>680</v>
      </c>
      <c r="S468" s="8">
        <f ca="1">IFERROR(__xludf.DUMMYFUNCTION("""COMPUTED_VALUE"""),12.8)</f>
        <v>12.8</v>
      </c>
      <c r="T468" s="8">
        <f ca="1">IFERROR(__xludf.DUMMYFUNCTION("""COMPUTED_VALUE"""),692.8)</f>
        <v>692.8</v>
      </c>
      <c r="U468" s="8"/>
      <c r="V468" s="8"/>
      <c r="W468" s="8"/>
      <c r="X468" s="8"/>
      <c r="Y468" s="8"/>
      <c r="Z468" s="37" t="str">
        <f ca="1">IFERROR(__xludf.DUMMYFUNCTION("""COMPUTED_VALUE"""),"W6 4155")</f>
        <v>W6 4155</v>
      </c>
      <c r="AA468" s="37" t="str">
        <f ca="1">IFERROR(__xludf.DUMMYFUNCTION("""COMPUTED_VALUE"""),"27/10/2024")</f>
        <v>27/10/2024</v>
      </c>
      <c r="AB468" s="64">
        <f ca="1">IFERROR(__xludf.DUMMYFUNCTION("""COMPUTED_VALUE"""),0.805555555555555)</f>
        <v>0.80555555555555503</v>
      </c>
    </row>
    <row r="469" spans="1:28" ht="14.55" customHeight="1" x14ac:dyDescent="0.3">
      <c r="A469" s="8">
        <v>60</v>
      </c>
      <c r="B469" s="8"/>
      <c r="C469" s="8"/>
      <c r="D469" s="8" t="str">
        <f ca="1">IFERROR(__xludf.DUMMYFUNCTION("""COMPUTED_VALUE"""),"15/08/2024")</f>
        <v>15/08/2024</v>
      </c>
      <c r="E469" s="16" t="str">
        <f ca="1">IFERROR(__xludf.DUMMYFUNCTION("""COMPUTED_VALUE"""),"Player")</f>
        <v>Player</v>
      </c>
      <c r="F469" s="8" t="str">
        <f ca="1">IFERROR(__xludf.DUMMYFUNCTION("""COMPUTED_VALUE"""),"Olsson, Linus")</f>
        <v>Olsson, Linus</v>
      </c>
      <c r="G469" s="16" t="str">
        <f ca="1">IFERROR(__xludf.DUMMYFUNCTION("""COMPUTED_VALUE"""),"SWE")</f>
        <v>SWE</v>
      </c>
      <c r="H469" s="8"/>
      <c r="I469" s="8">
        <f ca="1">IFERROR(__xludf.DUMMYFUNCTION("""COMPUTED_VALUE"""),100)</f>
        <v>100</v>
      </c>
      <c r="J469" s="8"/>
      <c r="K469" s="8"/>
      <c r="L469" s="8" t="str">
        <f ca="1">IFERROR(__xludf.DUMMYFUNCTION("""COMPUTED_VALUE"""),"Lunds ASK")</f>
        <v>Lunds ASK</v>
      </c>
      <c r="M469" s="16" t="str">
        <f ca="1">IFERROR(__xludf.DUMMYFUNCTION("""COMPUTED_VALUE"""),"SWE")</f>
        <v>SWE</v>
      </c>
      <c r="N469" s="16" t="str">
        <f ca="1">IFERROR(__xludf.DUMMYFUNCTION("""COMPUTED_VALUE"""),"Tonanti")</f>
        <v>Tonanti</v>
      </c>
      <c r="O469" s="8"/>
      <c r="P469" s="8">
        <f ca="1">IFERROR(__xludf.DUMMYFUNCTION("""COMPUTED_VALUE"""),85)</f>
        <v>85</v>
      </c>
      <c r="Q469" s="8">
        <f ca="1">IFERROR(__xludf.DUMMYFUNCTION("""COMPUTED_VALUE"""),8)</f>
        <v>8</v>
      </c>
      <c r="R469" s="8">
        <f ca="1">IFERROR(__xludf.DUMMYFUNCTION("""COMPUTED_VALUE"""),680)</f>
        <v>680</v>
      </c>
      <c r="S469" s="8">
        <f ca="1">IFERROR(__xludf.DUMMYFUNCTION("""COMPUTED_VALUE"""),12.8)</f>
        <v>12.8</v>
      </c>
      <c r="T469" s="8">
        <f ca="1">IFERROR(__xludf.DUMMYFUNCTION("""COMPUTED_VALUE"""),692.8)</f>
        <v>692.8</v>
      </c>
      <c r="U469" s="8"/>
      <c r="V469" s="8"/>
      <c r="W469" s="8"/>
      <c r="X469" s="8"/>
      <c r="Y469" s="8"/>
      <c r="Z469" s="37" t="str">
        <f ca="1">IFERROR(__xludf.DUMMYFUNCTION("""COMPUTED_VALUE"""),"W6 4155")</f>
        <v>W6 4155</v>
      </c>
      <c r="AA469" s="37" t="str">
        <f ca="1">IFERROR(__xludf.DUMMYFUNCTION("""COMPUTED_VALUE"""),"27/10/2024")</f>
        <v>27/10/2024</v>
      </c>
      <c r="AB469" s="64">
        <f ca="1">IFERROR(__xludf.DUMMYFUNCTION("""COMPUTED_VALUE"""),0.805555555555555)</f>
        <v>0.80555555555555503</v>
      </c>
    </row>
    <row r="470" spans="1:28" ht="14.55" customHeight="1" x14ac:dyDescent="0.3">
      <c r="A470" s="8">
        <v>61</v>
      </c>
      <c r="B470" s="8"/>
      <c r="C470" s="8"/>
      <c r="D470" s="8" t="str">
        <f ca="1">IFERROR(__xludf.DUMMYFUNCTION("""COMPUTED_VALUE"""),"15/08/2024")</f>
        <v>15/08/2024</v>
      </c>
      <c r="E470" s="16" t="str">
        <f ca="1">IFERROR(__xludf.DUMMYFUNCTION("""COMPUTED_VALUE"""),"Player")</f>
        <v>Player</v>
      </c>
      <c r="F470" s="8" t="str">
        <f ca="1">IFERROR(__xludf.DUMMYFUNCTION("""COMPUTED_VALUE"""),"Petersson, Kjell")</f>
        <v>Petersson, Kjell</v>
      </c>
      <c r="G470" s="16" t="str">
        <f ca="1">IFERROR(__xludf.DUMMYFUNCTION("""COMPUTED_VALUE"""),"SWE")</f>
        <v>SWE</v>
      </c>
      <c r="H470" s="8"/>
      <c r="I470" s="8">
        <f ca="1">IFERROR(__xludf.DUMMYFUNCTION("""COMPUTED_VALUE"""),100)</f>
        <v>100</v>
      </c>
      <c r="J470" s="8"/>
      <c r="K470" s="8"/>
      <c r="L470" s="8" t="str">
        <f ca="1">IFERROR(__xludf.DUMMYFUNCTION("""COMPUTED_VALUE"""),"Lunds ASK")</f>
        <v>Lunds ASK</v>
      </c>
      <c r="M470" s="16" t="str">
        <f ca="1">IFERROR(__xludf.DUMMYFUNCTION("""COMPUTED_VALUE"""),"SWE")</f>
        <v>SWE</v>
      </c>
      <c r="N470" s="16" t="str">
        <f ca="1">IFERROR(__xludf.DUMMYFUNCTION("""COMPUTED_VALUE"""),"Tonanti")</f>
        <v>Tonanti</v>
      </c>
      <c r="O470" s="8"/>
      <c r="P470" s="8">
        <f ca="1">IFERROR(__xludf.DUMMYFUNCTION("""COMPUTED_VALUE"""),108)</f>
        <v>108</v>
      </c>
      <c r="Q470" s="8">
        <f ca="1">IFERROR(__xludf.DUMMYFUNCTION("""COMPUTED_VALUE"""),8)</f>
        <v>8</v>
      </c>
      <c r="R470" s="8">
        <f ca="1">IFERROR(__xludf.DUMMYFUNCTION("""COMPUTED_VALUE"""),864)</f>
        <v>864</v>
      </c>
      <c r="S470" s="8">
        <f ca="1">IFERROR(__xludf.DUMMYFUNCTION("""COMPUTED_VALUE"""),12.8)</f>
        <v>12.8</v>
      </c>
      <c r="T470" s="8">
        <f ca="1">IFERROR(__xludf.DUMMYFUNCTION("""COMPUTED_VALUE"""),876.8)</f>
        <v>876.8</v>
      </c>
      <c r="U470" s="8"/>
      <c r="V470" s="8"/>
      <c r="W470" s="8"/>
      <c r="X470" s="8"/>
      <c r="Y470" s="8"/>
      <c r="Z470" s="37" t="str">
        <f ca="1">IFERROR(__xludf.DUMMYFUNCTION("""COMPUTED_VALUE"""),"W6 4155")</f>
        <v>W6 4155</v>
      </c>
      <c r="AA470" s="37" t="str">
        <f ca="1">IFERROR(__xludf.DUMMYFUNCTION("""COMPUTED_VALUE"""),"27/10/2024")</f>
        <v>27/10/2024</v>
      </c>
      <c r="AB470" s="64">
        <f ca="1">IFERROR(__xludf.DUMMYFUNCTION("""COMPUTED_VALUE"""),0.805555555555555)</f>
        <v>0.80555555555555503</v>
      </c>
    </row>
    <row r="471" spans="1:28" ht="14.55" customHeight="1" x14ac:dyDescent="0.3">
      <c r="A471" s="8">
        <v>62</v>
      </c>
      <c r="B471" s="8"/>
      <c r="C471" s="8"/>
      <c r="D471" s="8" t="str">
        <f ca="1">IFERROR(__xludf.DUMMYFUNCTION("""COMPUTED_VALUE"""),"23/08/2024")</f>
        <v>23/08/2024</v>
      </c>
      <c r="E471" s="16" t="str">
        <f ca="1">IFERROR(__xludf.DUMMYFUNCTION("""COMPUTED_VALUE"""),"Player")</f>
        <v>Player</v>
      </c>
      <c r="F471" s="8" t="str">
        <f ca="1">IFERROR(__xludf.DUMMYFUNCTION("""COMPUTED_VALUE"""),"Khotenashvili, Bella")</f>
        <v>Khotenashvili, Bella</v>
      </c>
      <c r="G471" s="8" t="str">
        <f ca="1">IFERROR(__xludf.DUMMYFUNCTION("""COMPUTED_VALUE"""),"GEO")</f>
        <v>GEO</v>
      </c>
      <c r="H471" s="8"/>
      <c r="I471" s="8">
        <f ca="1">IFERROR(__xludf.DUMMYFUNCTION("""COMPUTED_VALUE"""),100)</f>
        <v>100</v>
      </c>
      <c r="J471" s="8"/>
      <c r="K471" s="8"/>
      <c r="L471" s="8" t="str">
        <f ca="1">IFERROR(__xludf.DUMMYFUNCTION("""COMPUTED_VALUE"""),"Garuda Ajka BSK")</f>
        <v>Garuda Ajka BSK</v>
      </c>
      <c r="M471" s="8" t="str">
        <f ca="1">IFERROR(__xludf.DUMMYFUNCTION("""COMPUTED_VALUE"""),"HUN")</f>
        <v>HUN</v>
      </c>
      <c r="N471" s="16" t="str">
        <f ca="1">IFERROR(__xludf.DUMMYFUNCTION("""COMPUTED_VALUE"""),"Terme")</f>
        <v>Terme</v>
      </c>
      <c r="O471" s="8" t="str">
        <f ca="1">IFERROR(__xludf.DUMMYFUNCTION("""COMPUTED_VALUE"""),"Single")</f>
        <v>Single</v>
      </c>
      <c r="P471" s="8"/>
      <c r="Q471" s="8">
        <f ca="1">IFERROR(__xludf.DUMMYFUNCTION("""COMPUTED_VALUE"""),9)</f>
        <v>9</v>
      </c>
      <c r="R471" s="8">
        <f ca="1">IFERROR(__xludf.DUMMYFUNCTION("""COMPUTED_VALUE"""),936)</f>
        <v>936</v>
      </c>
      <c r="S471" s="8">
        <f ca="1">IFERROR(__xludf.DUMMYFUNCTION("""COMPUTED_VALUE"""),14.4)</f>
        <v>14.4</v>
      </c>
      <c r="T471" s="8">
        <f ca="1">IFERROR(__xludf.DUMMYFUNCTION("""COMPUTED_VALUE"""),950.4)</f>
        <v>950.4</v>
      </c>
      <c r="U471" s="8"/>
      <c r="V471" s="8"/>
      <c r="W471" s="8"/>
      <c r="X471" s="8"/>
      <c r="Y471" s="8"/>
      <c r="Z471" s="37" t="str">
        <f ca="1">IFERROR(__xludf.DUMMYFUNCTION("""COMPUTED_VALUE"""),"TK1084")</f>
        <v>TK1084</v>
      </c>
      <c r="AA471" s="37" t="str">
        <f ca="1">IFERROR(__xludf.DUMMYFUNCTION("""COMPUTED_VALUE"""),"27/10/2024")</f>
        <v>27/10/2024</v>
      </c>
      <c r="AB471" s="64">
        <f ca="1">IFERROR(__xludf.DUMMYFUNCTION("""COMPUTED_VALUE"""),0.840277777777777)</f>
        <v>0.84027777777777701</v>
      </c>
    </row>
    <row r="472" spans="1:28" ht="14.55" customHeight="1" x14ac:dyDescent="0.3">
      <c r="A472" s="8">
        <v>63</v>
      </c>
      <c r="B472" s="8"/>
      <c r="C472" s="8"/>
      <c r="D472" s="8" t="str">
        <f ca="1">IFERROR(__xludf.DUMMYFUNCTION("""COMPUTED_VALUE"""),"28/08/2024")</f>
        <v>28/08/2024</v>
      </c>
      <c r="E472" s="16" t="str">
        <f ca="1">IFERROR(__xludf.DUMMYFUNCTION("""COMPUTED_VALUE"""),"Player")</f>
        <v>Player</v>
      </c>
      <c r="F472" s="8" t="str">
        <f ca="1">IFERROR(__xludf.DUMMYFUNCTION("""COMPUTED_VALUE"""),"Batsiashvili, Nino")</f>
        <v>Batsiashvili, Nino</v>
      </c>
      <c r="G472" s="8" t="str">
        <f ca="1">IFERROR(__xludf.DUMMYFUNCTION("""COMPUTED_VALUE"""),"GEO")</f>
        <v>GEO</v>
      </c>
      <c r="H472" s="8"/>
      <c r="I472" s="8">
        <f ca="1">IFERROR(__xludf.DUMMYFUNCTION("""COMPUTED_VALUE"""),100)</f>
        <v>100</v>
      </c>
      <c r="J472" s="8"/>
      <c r="K472" s="8"/>
      <c r="L472" s="8" t="str">
        <f ca="1">IFERROR(__xludf.DUMMYFUNCTION("""COMPUTED_VALUE"""),"SuperChess")</f>
        <v>SuperChess</v>
      </c>
      <c r="M472" s="8" t="str">
        <f ca="1">IFERROR(__xludf.DUMMYFUNCTION("""COMPUTED_VALUE"""),"ROU")</f>
        <v>ROU</v>
      </c>
      <c r="N472" s="16" t="str">
        <f ca="1">IFERROR(__xludf.DUMMYFUNCTION("""COMPUTED_VALUE"""),"Kocka")</f>
        <v>Kocka</v>
      </c>
      <c r="O472" s="8" t="str">
        <f ca="1">IFERROR(__xludf.DUMMYFUNCTION("""COMPUTED_VALUE"""),"Single")</f>
        <v>Single</v>
      </c>
      <c r="P472" s="8"/>
      <c r="Q472" s="8">
        <f ca="1">IFERROR(__xludf.DUMMYFUNCTION("""COMPUTED_VALUE"""),8)</f>
        <v>8</v>
      </c>
      <c r="R472" s="8">
        <f ca="1">IFERROR(__xludf.DUMMYFUNCTION("""COMPUTED_VALUE"""),832)</f>
        <v>832</v>
      </c>
      <c r="S472" s="8">
        <f ca="1">IFERROR(__xludf.DUMMYFUNCTION("""COMPUTED_VALUE"""),12.8)</f>
        <v>12.8</v>
      </c>
      <c r="T472" s="8">
        <f ca="1">IFERROR(__xludf.DUMMYFUNCTION("""COMPUTED_VALUE"""),844.8)</f>
        <v>844.8</v>
      </c>
      <c r="U472" s="8"/>
      <c r="V472" s="8"/>
      <c r="W472" s="8"/>
      <c r="X472" s="8"/>
      <c r="Y472" s="8"/>
      <c r="Z472" s="37" t="str">
        <f ca="1">IFERROR(__xludf.DUMMYFUNCTION("""COMPUTED_VALUE"""),"TK1084")</f>
        <v>TK1084</v>
      </c>
      <c r="AA472" s="37" t="str">
        <f ca="1">IFERROR(__xludf.DUMMYFUNCTION("""COMPUTED_VALUE"""),"27/10/2024")</f>
        <v>27/10/2024</v>
      </c>
      <c r="AB472" s="64">
        <f ca="1">IFERROR(__xludf.DUMMYFUNCTION("""COMPUTED_VALUE"""),0.840277777777777)</f>
        <v>0.84027777777777701</v>
      </c>
    </row>
    <row r="473" spans="1:28" ht="14.55" customHeight="1" x14ac:dyDescent="0.3">
      <c r="A473" s="8">
        <v>64</v>
      </c>
      <c r="B473" s="8"/>
      <c r="C473" s="8"/>
      <c r="D473" s="8" t="str">
        <f ca="1">IFERROR(__xludf.DUMMYFUNCTION("""COMPUTED_VALUE"""),"19/08/2024")</f>
        <v>19/08/2024</v>
      </c>
      <c r="E473" s="16" t="str">
        <f ca="1">IFERROR(__xludf.DUMMYFUNCTION("""COMPUTED_VALUE"""),"Player")</f>
        <v>Player</v>
      </c>
      <c r="F473" s="8" t="str">
        <f ca="1">IFERROR(__xludf.DUMMYFUNCTION("""COMPUTED_VALUE"""),"Atalik, Suat")</f>
        <v>Atalik, Suat</v>
      </c>
      <c r="G473" s="16" t="str">
        <f ca="1">IFERROR(__xludf.DUMMYFUNCTION("""COMPUTED_VALUE"""),"SRB")</f>
        <v>SRB</v>
      </c>
      <c r="H473" s="8"/>
      <c r="I473" s="8">
        <f ca="1">IFERROR(__xludf.DUMMYFUNCTION("""COMPUTED_VALUE"""),100)</f>
        <v>100</v>
      </c>
      <c r="J473" s="8"/>
      <c r="K473" s="8"/>
      <c r="L473" s="8" t="str">
        <f ca="1">IFERROR(__xludf.DUMMYFUNCTION("""COMPUTED_VALUE"""),"Zmaj")</f>
        <v>Zmaj</v>
      </c>
      <c r="M473" s="16" t="str">
        <f ca="1">IFERROR(__xludf.DUMMYFUNCTION("""COMPUTED_VALUE"""),"SRB")</f>
        <v>SRB</v>
      </c>
      <c r="N473" s="16" t="str">
        <f ca="1">IFERROR(__xludf.DUMMYFUNCTION("""COMPUTED_VALUE"""),"Terme")</f>
        <v>Terme</v>
      </c>
      <c r="O473" s="8"/>
      <c r="P473" s="8"/>
      <c r="Q473" s="8">
        <f ca="1">IFERROR(__xludf.DUMMYFUNCTION("""COMPUTED_VALUE"""),8)</f>
        <v>8</v>
      </c>
      <c r="R473" s="8">
        <f ca="1">IFERROR(__xludf.DUMMYFUNCTION("""COMPUTED_VALUE"""),0)</f>
        <v>0</v>
      </c>
      <c r="S473" s="8">
        <f ca="1">IFERROR(__xludf.DUMMYFUNCTION("""COMPUTED_VALUE"""),12.8)</f>
        <v>12.8</v>
      </c>
      <c r="T473" s="8">
        <f ca="1">IFERROR(__xludf.DUMMYFUNCTION("""COMPUTED_VALUE"""),12.8)</f>
        <v>12.8</v>
      </c>
      <c r="U473" s="8"/>
      <c r="V473" s="8"/>
      <c r="W473" s="8"/>
      <c r="X473" s="8"/>
      <c r="Y473" s="8"/>
      <c r="Z473" s="37" t="s">
        <v>35</v>
      </c>
      <c r="AA473" s="37" t="str">
        <f ca="1">IFERROR(__xludf.DUMMYFUNCTION("""COMPUTED_VALUE"""),"27/10/2024")</f>
        <v>27/10/2024</v>
      </c>
      <c r="AB473" s="64">
        <v>0.84027777777777779</v>
      </c>
    </row>
    <row r="474" spans="1:28" ht="14.55" customHeight="1" x14ac:dyDescent="0.3">
      <c r="A474" s="8">
        <v>65</v>
      </c>
      <c r="B474" s="8"/>
      <c r="C474" s="8"/>
      <c r="D474" s="8" t="str">
        <f ca="1">IFERROR(__xludf.DUMMYFUNCTION("""COMPUTED_VALUE"""),"15/08/2024")</f>
        <v>15/08/2024</v>
      </c>
      <c r="E474" s="16" t="str">
        <f ca="1">IFERROR(__xludf.DUMMYFUNCTION("""COMPUTED_VALUE"""),"Player")</f>
        <v>Player</v>
      </c>
      <c r="F474" s="8" t="str">
        <f ca="1">IFERROR(__xludf.DUMMYFUNCTION("""COMPUTED_VALUE"""),"Sanal, Vahap")</f>
        <v>Sanal, Vahap</v>
      </c>
      <c r="G474" s="16" t="str">
        <f ca="1">IFERROR(__xludf.DUMMYFUNCTION("""COMPUTED_VALUE"""),"TUR")</f>
        <v>TUR</v>
      </c>
      <c r="H474" s="8"/>
      <c r="I474" s="8">
        <f ca="1">IFERROR(__xludf.DUMMYFUNCTION("""COMPUTED_VALUE"""),100)</f>
        <v>100</v>
      </c>
      <c r="J474" s="8"/>
      <c r="K474" s="8"/>
      <c r="L474" s="8" t="str">
        <f ca="1">IFERROR(__xludf.DUMMYFUNCTION("""COMPUTED_VALUE"""),"Turkish Airlines")</f>
        <v>Turkish Airlines</v>
      </c>
      <c r="M474" s="16" t="str">
        <f ca="1">IFERROR(__xludf.DUMMYFUNCTION("""COMPUTED_VALUE"""),"TUR")</f>
        <v>TUR</v>
      </c>
      <c r="N474" s="16" t="str">
        <f ca="1">IFERROR(__xludf.DUMMYFUNCTION("""COMPUTED_VALUE"""),"Terme")</f>
        <v>Terme</v>
      </c>
      <c r="O474" s="8"/>
      <c r="P474" s="8">
        <f ca="1">IFERROR(__xludf.DUMMYFUNCTION("""COMPUTED_VALUE"""),104)</f>
        <v>104</v>
      </c>
      <c r="Q474" s="8">
        <f ca="1">IFERROR(__xludf.DUMMYFUNCTION("""COMPUTED_VALUE"""),8)</f>
        <v>8</v>
      </c>
      <c r="R474" s="8">
        <f ca="1">IFERROR(__xludf.DUMMYFUNCTION("""COMPUTED_VALUE"""),832)</f>
        <v>832</v>
      </c>
      <c r="S474" s="8">
        <f ca="1">IFERROR(__xludf.DUMMYFUNCTION("""COMPUTED_VALUE"""),12.8)</f>
        <v>12.8</v>
      </c>
      <c r="T474" s="8">
        <f ca="1">IFERROR(__xludf.DUMMYFUNCTION("""COMPUTED_VALUE"""),844.8)</f>
        <v>844.8</v>
      </c>
      <c r="U474" s="8"/>
      <c r="V474" s="8"/>
      <c r="W474" s="8"/>
      <c r="X474" s="8"/>
      <c r="Y474" s="8"/>
      <c r="Z474" s="72" t="s">
        <v>45</v>
      </c>
      <c r="AA474" s="37" t="str">
        <f ca="1">IFERROR(__xludf.DUMMYFUNCTION("""COMPUTED_VALUE"""),"26/10/2024")</f>
        <v>26/10/2024</v>
      </c>
      <c r="AB474" s="64">
        <v>0.84722222222222221</v>
      </c>
    </row>
    <row r="475" spans="1:28" ht="14.55" customHeight="1" x14ac:dyDescent="0.3">
      <c r="A475" s="8">
        <v>66</v>
      </c>
      <c r="B475" s="8"/>
      <c r="C475" s="8"/>
      <c r="D475" s="8" t="str">
        <f ca="1">IFERROR(__xludf.DUMMYFUNCTION("""COMPUTED_VALUE"""),"29/07/2024")</f>
        <v>29/07/2024</v>
      </c>
      <c r="E475" s="16" t="str">
        <f ca="1">IFERROR(__xludf.DUMMYFUNCTION("""COMPUTED_VALUE"""),"Player")</f>
        <v>Player</v>
      </c>
      <c r="F475" s="8" t="str">
        <f ca="1">IFERROR(__xludf.DUMMYFUNCTION("""COMPUTED_VALUE"""),"Rost, Bjorn")</f>
        <v>Rost, Bjorn</v>
      </c>
      <c r="G475" s="16" t="str">
        <f ca="1">IFERROR(__xludf.DUMMYFUNCTION("""COMPUTED_VALUE"""),"NOR")</f>
        <v>NOR</v>
      </c>
      <c r="H475" s="8"/>
      <c r="I475" s="8">
        <f ca="1">IFERROR(__xludf.DUMMYFUNCTION("""COMPUTED_VALUE"""),100)</f>
        <v>100</v>
      </c>
      <c r="J475" s="8"/>
      <c r="K475" s="8"/>
      <c r="L475" s="8" t="str">
        <f ca="1">IFERROR(__xludf.DUMMYFUNCTION("""COMPUTED_VALUE"""),"SOSS")</f>
        <v>SOSS</v>
      </c>
      <c r="M475" s="16" t="str">
        <f ca="1">IFERROR(__xludf.DUMMYFUNCTION("""COMPUTED_VALUE"""),"NOR")</f>
        <v>NOR</v>
      </c>
      <c r="N475" s="16" t="str">
        <f ca="1">IFERROR(__xludf.DUMMYFUNCTION("""COMPUTED_VALUE"""),"Tonanti")</f>
        <v>Tonanti</v>
      </c>
      <c r="O475" s="8"/>
      <c r="P475" s="8">
        <f ca="1">IFERROR(__xludf.DUMMYFUNCTION("""COMPUTED_VALUE"""),108)</f>
        <v>108</v>
      </c>
      <c r="Q475" s="8">
        <f ca="1">IFERROR(__xludf.DUMMYFUNCTION("""COMPUTED_VALUE"""),7)</f>
        <v>7</v>
      </c>
      <c r="R475" s="8">
        <f ca="1">IFERROR(__xludf.DUMMYFUNCTION("""COMPUTED_VALUE"""),756)</f>
        <v>756</v>
      </c>
      <c r="S475" s="8">
        <f ca="1">IFERROR(__xludf.DUMMYFUNCTION("""COMPUTED_VALUE"""),11.2)</f>
        <v>11.2</v>
      </c>
      <c r="T475" s="8">
        <f ca="1">IFERROR(__xludf.DUMMYFUNCTION("""COMPUTED_VALUE"""),767.2)</f>
        <v>767.2</v>
      </c>
      <c r="U475" s="8"/>
      <c r="V475" s="8"/>
      <c r="W475" s="8"/>
      <c r="X475" s="8"/>
      <c r="Y475" s="8"/>
      <c r="Z475" s="37" t="str">
        <f ca="1">IFERROR(__xludf.DUMMYFUNCTION("""COMPUTED_VALUE"""),"DY1955")</f>
        <v>DY1955</v>
      </c>
      <c r="AA475" s="37" t="str">
        <f ca="1">IFERROR(__xludf.DUMMYFUNCTION("""COMPUTED_VALUE"""),"26/10/2024")</f>
        <v>26/10/2024</v>
      </c>
      <c r="AB475" s="64">
        <f ca="1">IFERROR(__xludf.DUMMYFUNCTION("""COMPUTED_VALUE"""),0.857638888888888)</f>
        <v>0.85763888888888795</v>
      </c>
    </row>
    <row r="476" spans="1:28" ht="14.55" customHeight="1" x14ac:dyDescent="0.3">
      <c r="A476" s="8">
        <v>67</v>
      </c>
      <c r="B476" s="8"/>
      <c r="C476" s="8"/>
      <c r="D476" s="8"/>
      <c r="E476" s="16" t="s">
        <v>0</v>
      </c>
      <c r="F476" s="8" t="str">
        <f ca="1">IFERROR(__xludf.DUMMYFUNCTION("""COMPUTED_VALUE"""),"Rapaire, Jean-Michel")</f>
        <v>Rapaire, Jean-Michel</v>
      </c>
      <c r="G476" s="8" t="str">
        <f ca="1">IFERROR(__xludf.DUMMYFUNCTION("""COMPUTED_VALUE"""),"MNC")</f>
        <v>MNC</v>
      </c>
      <c r="H476" s="8"/>
      <c r="I476" s="8">
        <f ca="1">IFERROR(__xludf.DUMMYFUNCTION("""COMPUTED_VALUE"""),100)</f>
        <v>100</v>
      </c>
      <c r="J476" s="8"/>
      <c r="K476" s="8"/>
      <c r="L476" s="8" t="s">
        <v>2</v>
      </c>
      <c r="M476" s="8" t="str">
        <f ca="1">IFERROR(__xludf.DUMMYFUNCTION("""COMPUTED_VALUE"""),"MNC")</f>
        <v>MNC</v>
      </c>
      <c r="N476" s="16" t="str">
        <f ca="1">IFERROR(__xludf.DUMMYFUNCTION("""COMPUTED_VALUE"""),"Zepter")</f>
        <v>Zepter</v>
      </c>
      <c r="O476" s="8" t="str">
        <f ca="1">IFERROR(__xludf.DUMMYFUNCTION("""COMPUTED_VALUE"""),"Single")</f>
        <v>Single</v>
      </c>
      <c r="P476" s="8" t="str">
        <f ca="1">IFERROR(__xludf.DUMMYFUNCTION("""COMPUTED_VALUE"""),"Rapaire Cat")</f>
        <v>Rapaire Cat</v>
      </c>
      <c r="Q476" s="8">
        <f ca="1">IFERROR(__xludf.DUMMYFUNCTION("""COMPUTED_VALUE"""),8)</f>
        <v>8</v>
      </c>
      <c r="R476" s="8">
        <f ca="1">IFERROR(__xludf.DUMMYFUNCTION("""COMPUTED_VALUE"""),832)</f>
        <v>832</v>
      </c>
      <c r="S476" s="8">
        <f ca="1">IFERROR(__xludf.DUMMYFUNCTION("""COMPUTED_VALUE"""),12.8)</f>
        <v>12.8</v>
      </c>
      <c r="T476" s="8">
        <f ca="1">IFERROR(__xludf.DUMMYFUNCTION("""COMPUTED_VALUE"""),844.8)</f>
        <v>844.8</v>
      </c>
      <c r="U476" s="8"/>
      <c r="V476" s="8"/>
      <c r="W476" s="8" t="str">
        <f ca="1">IFERROR(__xludf.DUMMYFUNCTION("""COMPUTED_VALUE"""),"YES")</f>
        <v>YES</v>
      </c>
      <c r="X476" s="8"/>
      <c r="Y476" s="8"/>
      <c r="Z476" s="37" t="str">
        <f ca="1">IFERROR(__xludf.DUMMYFUNCTION("""COMPUTED_VALUE"""),"w64025")</f>
        <v>w64025</v>
      </c>
      <c r="AA476" s="37" t="str">
        <f ca="1">IFERROR(__xludf.DUMMYFUNCTION("""COMPUTED_VALUE"""),"27/10/2024")</f>
        <v>27/10/2024</v>
      </c>
      <c r="AB476" s="64">
        <f ca="1">IFERROR(__xludf.DUMMYFUNCTION("""COMPUTED_VALUE"""),0.861111111111111)</f>
        <v>0.86111111111111105</v>
      </c>
    </row>
    <row r="477" spans="1:28" ht="14.55" customHeight="1" x14ac:dyDescent="0.3">
      <c r="A477" s="8">
        <v>68</v>
      </c>
      <c r="B477" s="8"/>
      <c r="C477" s="8"/>
      <c r="D477" s="8" t="str">
        <f ca="1">IFERROR(__xludf.DUMMYFUNCTION("""COMPUTED_VALUE"""),"14/08/2024")</f>
        <v>14/08/2024</v>
      </c>
      <c r="E477" s="16" t="str">
        <f ca="1">IFERROR(__xludf.DUMMYFUNCTION("""COMPUTED_VALUE"""),"Player")</f>
        <v>Player</v>
      </c>
      <c r="F477" s="8" t="str">
        <f ca="1">IFERROR(__xludf.DUMMYFUNCTION("""COMPUTED_VALUE"""),"Cahen, Alexis")</f>
        <v>Cahen, Alexis</v>
      </c>
      <c r="G477" s="16" t="str">
        <f ca="1">IFERROR(__xludf.DUMMYFUNCTION("""COMPUTED_VALUE"""),"FRA")</f>
        <v>FRA</v>
      </c>
      <c r="H477" s="8"/>
      <c r="I477" s="8">
        <f ca="1">IFERROR(__xludf.DUMMYFUNCTION("""COMPUTED_VALUE"""),100)</f>
        <v>100</v>
      </c>
      <c r="J477" s="8"/>
      <c r="K477" s="8"/>
      <c r="L477" s="8" t="str">
        <f ca="1">IFERROR(__xludf.DUMMYFUNCTION("""COMPUTED_VALUE"""),"Differdange")</f>
        <v>Differdange</v>
      </c>
      <c r="M477" s="16" t="str">
        <f ca="1">IFERROR(__xludf.DUMMYFUNCTION("""COMPUTED_VALUE"""),"LUX")</f>
        <v>LUX</v>
      </c>
      <c r="N477" s="16" t="str">
        <f ca="1">IFERROR(__xludf.DUMMYFUNCTION("""COMPUTED_VALUE"""),"Fontana")</f>
        <v>Fontana</v>
      </c>
      <c r="O477" s="8" t="str">
        <f ca="1">IFERROR(__xludf.DUMMYFUNCTION("""COMPUTED_VALUE"""),"Gryshko Vitalii")</f>
        <v>Gryshko Vitalii</v>
      </c>
      <c r="P477" s="8">
        <f ca="1">IFERROR(__xludf.DUMMYFUNCTION("""COMPUTED_VALUE"""),84)</f>
        <v>84</v>
      </c>
      <c r="Q477" s="8">
        <f ca="1">IFERROR(__xludf.DUMMYFUNCTION("""COMPUTED_VALUE"""),8)</f>
        <v>8</v>
      </c>
      <c r="R477" s="8">
        <f ca="1">IFERROR(__xludf.DUMMYFUNCTION("""COMPUTED_VALUE"""),672)</f>
        <v>672</v>
      </c>
      <c r="S477" s="8">
        <f ca="1">IFERROR(__xludf.DUMMYFUNCTION("""COMPUTED_VALUE"""),12.8)</f>
        <v>12.8</v>
      </c>
      <c r="T477" s="8">
        <f ca="1">IFERROR(__xludf.DUMMYFUNCTION("""COMPUTED_VALUE"""),684.8)</f>
        <v>684.8</v>
      </c>
      <c r="U477" s="8"/>
      <c r="V477" s="8"/>
      <c r="W477" s="8"/>
      <c r="X477" s="8"/>
      <c r="Y477" s="8"/>
      <c r="Z477" s="37"/>
      <c r="AA477" s="37" t="str">
        <f ca="1">IFERROR(__xludf.DUMMYFUNCTION("""COMPUTED_VALUE"""),"27/10/2024")</f>
        <v>27/10/2024</v>
      </c>
      <c r="AB477" s="64">
        <f ca="1">IFERROR(__xludf.DUMMYFUNCTION("""COMPUTED_VALUE"""),0.861111111111111)</f>
        <v>0.86111111111111105</v>
      </c>
    </row>
    <row r="478" spans="1:28" ht="14.55" customHeight="1" x14ac:dyDescent="0.3">
      <c r="A478" s="8">
        <v>69</v>
      </c>
      <c r="B478" s="8"/>
      <c r="C478" s="8"/>
      <c r="D478" s="8" t="str">
        <f ca="1">IFERROR(__xludf.DUMMYFUNCTION("""COMPUTED_VALUE"""),"15/08/2024")</f>
        <v>15/08/2024</v>
      </c>
      <c r="E478" s="16" t="str">
        <f ca="1">IFERROR(__xludf.DUMMYFUNCTION("""COMPUTED_VALUE"""),"Player")</f>
        <v>Player</v>
      </c>
      <c r="F478" s="8" t="str">
        <f ca="1">IFERROR(__xludf.DUMMYFUNCTION("""COMPUTED_VALUE"""),"Lyons, Brendan")</f>
        <v>Lyons, Brendan</v>
      </c>
      <c r="G478" s="16" t="str">
        <f ca="1">IFERROR(__xludf.DUMMYFUNCTION("""COMPUTED_VALUE"""),"IRL")</f>
        <v>IRL</v>
      </c>
      <c r="H478" s="8"/>
      <c r="I478" s="8">
        <f ca="1">IFERROR(__xludf.DUMMYFUNCTION("""COMPUTED_VALUE"""),100)</f>
        <v>100</v>
      </c>
      <c r="J478" s="8"/>
      <c r="K478" s="8"/>
      <c r="L478" s="8" t="str">
        <f ca="1">IFERROR(__xludf.DUMMYFUNCTION("""COMPUTED_VALUE"""),"St Benildus")</f>
        <v>St Benildus</v>
      </c>
      <c r="M478" s="16" t="str">
        <f ca="1">IFERROR(__xludf.DUMMYFUNCTION("""COMPUTED_VALUE"""),"IRL")</f>
        <v>IRL</v>
      </c>
      <c r="N478" s="16" t="str">
        <f ca="1">IFERROR(__xludf.DUMMYFUNCTION("""COMPUTED_VALUE"""),"Fontana")</f>
        <v>Fontana</v>
      </c>
      <c r="O478" s="8" t="str">
        <f ca="1">IFERROR(__xludf.DUMMYFUNCTION("""COMPUTED_VALUE"""),"Carol")</f>
        <v>Carol</v>
      </c>
      <c r="P478" s="8">
        <f ca="1">IFERROR(__xludf.DUMMYFUNCTION("""COMPUTED_VALUE"""),84)</f>
        <v>84</v>
      </c>
      <c r="Q478" s="8">
        <f ca="1">IFERROR(__xludf.DUMMYFUNCTION("""COMPUTED_VALUE"""),8)</f>
        <v>8</v>
      </c>
      <c r="R478" s="8">
        <f ca="1">IFERROR(__xludf.DUMMYFUNCTION("""COMPUTED_VALUE"""),672)</f>
        <v>672</v>
      </c>
      <c r="S478" s="8">
        <f ca="1">IFERROR(__xludf.DUMMYFUNCTION("""COMPUTED_VALUE"""),12.8)</f>
        <v>12.8</v>
      </c>
      <c r="T478" s="8">
        <f ca="1">IFERROR(__xludf.DUMMYFUNCTION("""COMPUTED_VALUE"""),684.8)</f>
        <v>684.8</v>
      </c>
      <c r="U478" s="8"/>
      <c r="V478" s="8"/>
      <c r="W478" s="8"/>
      <c r="X478" s="8"/>
      <c r="Y478" s="8"/>
      <c r="Z478" s="37" t="str">
        <f ca="1">IFERROR(__xludf.DUMMYFUNCTION("""COMPUTED_VALUE"""),"W64025")</f>
        <v>W64025</v>
      </c>
      <c r="AA478" s="37" t="str">
        <f ca="1">IFERROR(__xludf.DUMMYFUNCTION("""COMPUTED_VALUE"""),"27/10/2024")</f>
        <v>27/10/2024</v>
      </c>
      <c r="AB478" s="64">
        <v>0.86111111111111116</v>
      </c>
    </row>
    <row r="479" spans="1:28" ht="14.55" customHeight="1" x14ac:dyDescent="0.3">
      <c r="A479" s="8">
        <v>70</v>
      </c>
      <c r="B479" s="8"/>
      <c r="C479" s="8"/>
      <c r="D479" s="8" t="str">
        <f ca="1">IFERROR(__xludf.DUMMYFUNCTION("""COMPUTED_VALUE"""),"15/08/2024")</f>
        <v>15/08/2024</v>
      </c>
      <c r="E479" s="16" t="s">
        <v>0</v>
      </c>
      <c r="F479" s="8" t="str">
        <f ca="1">IFERROR(__xludf.DUMMYFUNCTION("""COMPUTED_VALUE"""),"Lyons, Carol")</f>
        <v>Lyons, Carol</v>
      </c>
      <c r="G479" s="16" t="str">
        <f ca="1">IFERROR(__xludf.DUMMYFUNCTION("""COMPUTED_VALUE"""),"IRL")</f>
        <v>IRL</v>
      </c>
      <c r="H479" s="8"/>
      <c r="I479" s="8">
        <f ca="1">IFERROR(__xludf.DUMMYFUNCTION("""COMPUTED_VALUE"""),100)</f>
        <v>100</v>
      </c>
      <c r="J479" s="8"/>
      <c r="K479" s="8"/>
      <c r="L479" s="8" t="str">
        <f ca="1">IFERROR(__xludf.DUMMYFUNCTION("""COMPUTED_VALUE"""),"St Benildus")</f>
        <v>St Benildus</v>
      </c>
      <c r="M479" s="16" t="str">
        <f ca="1">IFERROR(__xludf.DUMMYFUNCTION("""COMPUTED_VALUE"""),"IRL")</f>
        <v>IRL</v>
      </c>
      <c r="N479" s="16" t="str">
        <f ca="1">IFERROR(__xludf.DUMMYFUNCTION("""COMPUTED_VALUE"""),"Fontana")</f>
        <v>Fontana</v>
      </c>
      <c r="O479" s="8" t="str">
        <f ca="1">IFERROR(__xludf.DUMMYFUNCTION("""COMPUTED_VALUE"""),"Brendan L")</f>
        <v>Brendan L</v>
      </c>
      <c r="P479" s="8">
        <f ca="1">IFERROR(__xludf.DUMMYFUNCTION("""COMPUTED_VALUE"""),84)</f>
        <v>84</v>
      </c>
      <c r="Q479" s="8">
        <f ca="1">IFERROR(__xludf.DUMMYFUNCTION("""COMPUTED_VALUE"""),8)</f>
        <v>8</v>
      </c>
      <c r="R479" s="8">
        <f ca="1">IFERROR(__xludf.DUMMYFUNCTION("""COMPUTED_VALUE"""),672)</f>
        <v>672</v>
      </c>
      <c r="S479" s="8">
        <f ca="1">IFERROR(__xludf.DUMMYFUNCTION("""COMPUTED_VALUE"""),12.8)</f>
        <v>12.8</v>
      </c>
      <c r="T479" s="8">
        <f ca="1">IFERROR(__xludf.DUMMYFUNCTION("""COMPUTED_VALUE"""),684.8)</f>
        <v>684.8</v>
      </c>
      <c r="U479" s="8"/>
      <c r="V479" s="8"/>
      <c r="W479" s="8"/>
      <c r="X479" s="8"/>
      <c r="Y479" s="8"/>
      <c r="Z479" s="37" t="str">
        <f ca="1">IFERROR(__xludf.DUMMYFUNCTION("""COMPUTED_VALUE"""),"W64025")</f>
        <v>W64025</v>
      </c>
      <c r="AA479" s="37" t="str">
        <f ca="1">IFERROR(__xludf.DUMMYFUNCTION("""COMPUTED_VALUE"""),"27/10/2024")</f>
        <v>27/10/2024</v>
      </c>
      <c r="AB479" s="64">
        <v>0.86111111111111116</v>
      </c>
    </row>
    <row r="480" spans="1:28" ht="24" customHeight="1" x14ac:dyDescent="0.4">
      <c r="A480" s="48" t="s">
        <v>65</v>
      </c>
      <c r="B480" s="49"/>
      <c r="C480" s="49"/>
      <c r="D480" s="49"/>
      <c r="E480" s="50"/>
      <c r="F480" s="49"/>
      <c r="G480" s="50"/>
      <c r="H480" s="49"/>
      <c r="I480" s="49"/>
      <c r="J480" s="49"/>
      <c r="K480" s="49"/>
      <c r="L480" s="49"/>
      <c r="M480" s="50"/>
      <c r="N480" s="50"/>
      <c r="O480" s="49"/>
      <c r="P480" s="49"/>
      <c r="Q480" s="49"/>
      <c r="R480" s="49"/>
      <c r="S480" s="49"/>
      <c r="T480" s="49"/>
      <c r="U480" s="49"/>
      <c r="V480" s="49"/>
      <c r="W480" s="49"/>
      <c r="X480" s="49"/>
      <c r="Y480" s="49"/>
      <c r="Z480" s="69"/>
      <c r="AA480" s="53"/>
      <c r="AB480" s="62"/>
    </row>
    <row r="481" spans="1:28" ht="14.55" customHeight="1" x14ac:dyDescent="0.3">
      <c r="A481" s="8">
        <v>1</v>
      </c>
      <c r="B481" s="8"/>
      <c r="C481" s="8"/>
      <c r="D481" s="8" t="str">
        <f ca="1">IFERROR(__xludf.DUMMYFUNCTION("""COMPUTED_VALUE"""),"31/07/2024")</f>
        <v>31/07/2024</v>
      </c>
      <c r="E481" s="16" t="str">
        <f ca="1">IFERROR(__xludf.DUMMYFUNCTION("""COMPUTED_VALUE"""),"Player")</f>
        <v>Player</v>
      </c>
      <c r="F481" s="8" t="str">
        <f ca="1">IFERROR(__xludf.DUMMYFUNCTION("""COMPUTED_VALUE"""),"Fernandez, Daniel Howard")</f>
        <v>Fernandez, Daniel Howard</v>
      </c>
      <c r="G481" s="16" t="str">
        <f ca="1">IFERROR(__xludf.DUMMYFUNCTION("""COMPUTED_VALUE"""),"ENG")</f>
        <v>ENG</v>
      </c>
      <c r="H481" s="8"/>
      <c r="I481" s="8">
        <f ca="1">IFERROR(__xludf.DUMMYFUNCTION("""COMPUTED_VALUE"""),100)</f>
        <v>100</v>
      </c>
      <c r="J481" s="8"/>
      <c r="K481" s="8"/>
      <c r="L481" s="8" t="str">
        <f ca="1">IFERROR(__xludf.DUMMYFUNCTION("""COMPUTED_VALUE"""),"The Sharks")</f>
        <v>The Sharks</v>
      </c>
      <c r="M481" s="16" t="str">
        <f ca="1">IFERROR(__xludf.DUMMYFUNCTION("""COMPUTED_VALUE"""),"ENG")</f>
        <v>ENG</v>
      </c>
      <c r="N481" s="16" t="str">
        <f ca="1">IFERROR(__xludf.DUMMYFUNCTION("""COMPUTED_VALUE"""),"Fontana")</f>
        <v>Fontana</v>
      </c>
      <c r="O481" s="8" t="str">
        <f ca="1">IFERROR(__xludf.DUMMYFUNCTION("""COMPUTED_VALUE"""),"Moreby – twin")</f>
        <v>Moreby – twin</v>
      </c>
      <c r="P481" s="8">
        <f ca="1">IFERROR(__xludf.DUMMYFUNCTION("""COMPUTED_VALUE"""),84)</f>
        <v>84</v>
      </c>
      <c r="Q481" s="8">
        <f ca="1">IFERROR(__xludf.DUMMYFUNCTION("""COMPUTED_VALUE"""),8)</f>
        <v>8</v>
      </c>
      <c r="R481" s="8">
        <f ca="1">IFERROR(__xludf.DUMMYFUNCTION("""COMPUTED_VALUE"""),672)</f>
        <v>672</v>
      </c>
      <c r="S481" s="8">
        <f ca="1">IFERROR(__xludf.DUMMYFUNCTION("""COMPUTED_VALUE"""),12.8)</f>
        <v>12.8</v>
      </c>
      <c r="T481" s="8">
        <f ca="1">IFERROR(__xludf.DUMMYFUNCTION("""COMPUTED_VALUE"""),684.8)</f>
        <v>684.8</v>
      </c>
      <c r="U481" s="8"/>
      <c r="V481" s="8"/>
      <c r="W481" s="8"/>
      <c r="X481" s="8"/>
      <c r="Y481" s="8"/>
      <c r="Z481" s="37" t="str">
        <f ca="1">IFERROR(__xludf.DUMMYFUNCTION("""COMPUTED_VALUE"""),"W94001")</f>
        <v>W94001</v>
      </c>
      <c r="AA481" s="37" t="str">
        <f ca="1">IFERROR(__xludf.DUMMYFUNCTION("""COMPUTED_VALUE"""),"27/10/2024")</f>
        <v>27/10/2024</v>
      </c>
      <c r="AB481" s="64">
        <v>0.95833333333333337</v>
      </c>
    </row>
    <row r="482" spans="1:28" ht="14.55" customHeight="1" x14ac:dyDescent="0.3">
      <c r="A482" s="8">
        <v>2</v>
      </c>
      <c r="B482" s="8"/>
      <c r="C482" s="8"/>
      <c r="D482" s="13">
        <f ca="1">IFERROR(__xludf.DUMMYFUNCTION("""COMPUTED_VALUE"""),45543)</f>
        <v>45543</v>
      </c>
      <c r="E482" s="16" t="str">
        <f ca="1">IFERROR(__xludf.DUMMYFUNCTION("""COMPUTED_VALUE"""),"Player")</f>
        <v>Player</v>
      </c>
      <c r="F482" s="8" t="str">
        <f ca="1">IFERROR(__xludf.DUMMYFUNCTION("""COMPUTED_VALUE"""),"Ledger, Andrew J")</f>
        <v>Ledger, Andrew J</v>
      </c>
      <c r="G482" s="16" t="str">
        <f ca="1">IFERROR(__xludf.DUMMYFUNCTION("""COMPUTED_VALUE"""),"ENG")</f>
        <v>ENG</v>
      </c>
      <c r="H482" s="8"/>
      <c r="I482" s="8">
        <f ca="1">IFERROR(__xludf.DUMMYFUNCTION("""COMPUTED_VALUE"""),100)</f>
        <v>100</v>
      </c>
      <c r="J482" s="8"/>
      <c r="K482" s="8"/>
      <c r="L482" s="8" t="str">
        <f ca="1">IFERROR(__xludf.DUMMYFUNCTION("""COMPUTED_VALUE"""),"Blackthorne")</f>
        <v>Blackthorne</v>
      </c>
      <c r="M482" s="16" t="str">
        <f ca="1">IFERROR(__xludf.DUMMYFUNCTION("""COMPUTED_VALUE"""),"ENG")</f>
        <v>ENG</v>
      </c>
      <c r="N482" s="16" t="str">
        <f ca="1">IFERROR(__xludf.DUMMYFUNCTION("""COMPUTED_VALUE"""),"Breza")</f>
        <v>Breza</v>
      </c>
      <c r="O482" s="8"/>
      <c r="P482" s="8">
        <f ca="1">IFERROR(__xludf.DUMMYFUNCTION("""COMPUTED_VALUE"""),82)</f>
        <v>82</v>
      </c>
      <c r="Q482" s="8">
        <f ca="1">IFERROR(__xludf.DUMMYFUNCTION("""COMPUTED_VALUE"""),8)</f>
        <v>8</v>
      </c>
      <c r="R482" s="8">
        <f ca="1">IFERROR(__xludf.DUMMYFUNCTION("""COMPUTED_VALUE"""),656)</f>
        <v>656</v>
      </c>
      <c r="S482" s="8">
        <f ca="1">IFERROR(__xludf.DUMMYFUNCTION("""COMPUTED_VALUE"""),12.8)</f>
        <v>12.8</v>
      </c>
      <c r="T482" s="8">
        <f ca="1">IFERROR(__xludf.DUMMYFUNCTION("""COMPUTED_VALUE"""),668.8)</f>
        <v>668.8</v>
      </c>
      <c r="U482" s="8"/>
      <c r="V482" s="8"/>
      <c r="W482" s="8"/>
      <c r="X482" s="8"/>
      <c r="Y482" s="8"/>
      <c r="Z482" s="37" t="str">
        <f ca="1">IFERROR(__xludf.DUMMYFUNCTION("""COMPUTED_VALUE"""),"W9 4001")</f>
        <v>W9 4001</v>
      </c>
      <c r="AA482" s="37" t="str">
        <f ca="1">IFERROR(__xludf.DUMMYFUNCTION("""COMPUTED_VALUE"""),"27/10/2024")</f>
        <v>27/10/2024</v>
      </c>
      <c r="AB482" s="64">
        <f ca="1">IFERROR(__xludf.DUMMYFUNCTION("""COMPUTED_VALUE"""),0.972222222222222)</f>
        <v>0.97222222222222199</v>
      </c>
    </row>
    <row r="483" spans="1:28" ht="14.55" customHeight="1" x14ac:dyDescent="0.3">
      <c r="A483" s="8">
        <v>3</v>
      </c>
      <c r="B483" s="8"/>
      <c r="C483" s="8"/>
      <c r="D483" s="13">
        <f ca="1">IFERROR(__xludf.DUMMYFUNCTION("""COMPUTED_VALUE"""),45543)</f>
        <v>45543</v>
      </c>
      <c r="E483" s="16" t="str">
        <f ca="1">IFERROR(__xludf.DUMMYFUNCTION("""COMPUTED_VALUE"""),"Player")</f>
        <v>Player</v>
      </c>
      <c r="F483" s="8" t="str">
        <f ca="1">IFERROR(__xludf.DUMMYFUNCTION("""COMPUTED_VALUE"""),"Ansell, Simon T")</f>
        <v>Ansell, Simon T</v>
      </c>
      <c r="G483" s="16" t="str">
        <f ca="1">IFERROR(__xludf.DUMMYFUNCTION("""COMPUTED_VALUE"""),"ENG")</f>
        <v>ENG</v>
      </c>
      <c r="H483" s="8"/>
      <c r="I483" s="8">
        <f ca="1">IFERROR(__xludf.DUMMYFUNCTION("""COMPUTED_VALUE"""),100)</f>
        <v>100</v>
      </c>
      <c r="J483" s="8"/>
      <c r="K483" s="8"/>
      <c r="L483" s="8" t="str">
        <f ca="1">IFERROR(__xludf.DUMMYFUNCTION("""COMPUTED_VALUE"""),"Blackthorne")</f>
        <v>Blackthorne</v>
      </c>
      <c r="M483" s="16" t="str">
        <f ca="1">IFERROR(__xludf.DUMMYFUNCTION("""COMPUTED_VALUE"""),"ENG")</f>
        <v>ENG</v>
      </c>
      <c r="N483" s="16" t="str">
        <f ca="1">IFERROR(__xludf.DUMMYFUNCTION("""COMPUTED_VALUE"""),"Breza")</f>
        <v>Breza</v>
      </c>
      <c r="O483" s="8"/>
      <c r="P483" s="8">
        <f ca="1">IFERROR(__xludf.DUMMYFUNCTION("""COMPUTED_VALUE"""),82)</f>
        <v>82</v>
      </c>
      <c r="Q483" s="8">
        <f ca="1">IFERROR(__xludf.DUMMYFUNCTION("""COMPUTED_VALUE"""),8)</f>
        <v>8</v>
      </c>
      <c r="R483" s="8">
        <f ca="1">IFERROR(__xludf.DUMMYFUNCTION("""COMPUTED_VALUE"""),656)</f>
        <v>656</v>
      </c>
      <c r="S483" s="8">
        <f ca="1">IFERROR(__xludf.DUMMYFUNCTION("""COMPUTED_VALUE"""),12.8)</f>
        <v>12.8</v>
      </c>
      <c r="T483" s="8">
        <f ca="1">IFERROR(__xludf.DUMMYFUNCTION("""COMPUTED_VALUE"""),668.8)</f>
        <v>668.8</v>
      </c>
      <c r="U483" s="8"/>
      <c r="V483" s="8"/>
      <c r="W483" s="8"/>
      <c r="X483" s="8"/>
      <c r="Y483" s="8"/>
      <c r="Z483" s="37" t="str">
        <f ca="1">IFERROR(__xludf.DUMMYFUNCTION("""COMPUTED_VALUE"""),"W9 4001")</f>
        <v>W9 4001</v>
      </c>
      <c r="AA483" s="37" t="str">
        <f ca="1">IFERROR(__xludf.DUMMYFUNCTION("""COMPUTED_VALUE"""),"27/10/2024")</f>
        <v>27/10/2024</v>
      </c>
      <c r="AB483" s="64">
        <f ca="1">IFERROR(__xludf.DUMMYFUNCTION("""COMPUTED_VALUE"""),0.972222222222222)</f>
        <v>0.97222222222222199</v>
      </c>
    </row>
    <row r="484" spans="1:28" ht="14.55" customHeight="1" x14ac:dyDescent="0.3">
      <c r="A484" s="8">
        <v>4</v>
      </c>
      <c r="B484" s="8"/>
      <c r="C484" s="8"/>
      <c r="D484" s="13">
        <f ca="1">IFERROR(__xludf.DUMMYFUNCTION("""COMPUTED_VALUE"""),45543)</f>
        <v>45543</v>
      </c>
      <c r="E484" s="16" t="str">
        <f ca="1">IFERROR(__xludf.DUMMYFUNCTION("""COMPUTED_VALUE"""),"Player")</f>
        <v>Player</v>
      </c>
      <c r="F484" s="8" t="str">
        <f ca="1">IFERROR(__xludf.DUMMYFUNCTION("""COMPUTED_VALUE"""),"Ledger, Dave J")</f>
        <v>Ledger, Dave J</v>
      </c>
      <c r="G484" s="16" t="str">
        <f ca="1">IFERROR(__xludf.DUMMYFUNCTION("""COMPUTED_VALUE"""),"ENG")</f>
        <v>ENG</v>
      </c>
      <c r="H484" s="8"/>
      <c r="I484" s="8">
        <f ca="1">IFERROR(__xludf.DUMMYFUNCTION("""COMPUTED_VALUE"""),100)</f>
        <v>100</v>
      </c>
      <c r="J484" s="8"/>
      <c r="K484" s="8"/>
      <c r="L484" s="8" t="str">
        <f ca="1">IFERROR(__xludf.DUMMYFUNCTION("""COMPUTED_VALUE"""),"Blackthorne")</f>
        <v>Blackthorne</v>
      </c>
      <c r="M484" s="16" t="str">
        <f ca="1">IFERROR(__xludf.DUMMYFUNCTION("""COMPUTED_VALUE"""),"ENG")</f>
        <v>ENG</v>
      </c>
      <c r="N484" s="16" t="str">
        <f ca="1">IFERROR(__xludf.DUMMYFUNCTION("""COMPUTED_VALUE"""),"Breza")</f>
        <v>Breza</v>
      </c>
      <c r="O484" s="8"/>
      <c r="P484" s="8">
        <f ca="1">IFERROR(__xludf.DUMMYFUNCTION("""COMPUTED_VALUE"""),82)</f>
        <v>82</v>
      </c>
      <c r="Q484" s="8">
        <f ca="1">IFERROR(__xludf.DUMMYFUNCTION("""COMPUTED_VALUE"""),8)</f>
        <v>8</v>
      </c>
      <c r="R484" s="8">
        <f ca="1">IFERROR(__xludf.DUMMYFUNCTION("""COMPUTED_VALUE"""),656)</f>
        <v>656</v>
      </c>
      <c r="S484" s="8">
        <f ca="1">IFERROR(__xludf.DUMMYFUNCTION("""COMPUTED_VALUE"""),12.8)</f>
        <v>12.8</v>
      </c>
      <c r="T484" s="8">
        <f ca="1">IFERROR(__xludf.DUMMYFUNCTION("""COMPUTED_VALUE"""),668.8)</f>
        <v>668.8</v>
      </c>
      <c r="U484" s="8"/>
      <c r="V484" s="8"/>
      <c r="W484" s="8"/>
      <c r="X484" s="8"/>
      <c r="Y484" s="8"/>
      <c r="Z484" s="37" t="str">
        <f ca="1">IFERROR(__xludf.DUMMYFUNCTION("""COMPUTED_VALUE"""),"W9 4001")</f>
        <v>W9 4001</v>
      </c>
      <c r="AA484" s="37" t="str">
        <f ca="1">IFERROR(__xludf.DUMMYFUNCTION("""COMPUTED_VALUE"""),"27/10/2024")</f>
        <v>27/10/2024</v>
      </c>
      <c r="AB484" s="64">
        <f ca="1">IFERROR(__xludf.DUMMYFUNCTION("""COMPUTED_VALUE"""),0.972222222222222)</f>
        <v>0.97222222222222199</v>
      </c>
    </row>
    <row r="485" spans="1:28" ht="14.55" customHeight="1" x14ac:dyDescent="0.3">
      <c r="A485" s="8">
        <v>5</v>
      </c>
      <c r="B485" s="8"/>
      <c r="C485" s="8"/>
      <c r="D485" s="13">
        <f ca="1">IFERROR(__xludf.DUMMYFUNCTION("""COMPUTED_VALUE"""),45543)</f>
        <v>45543</v>
      </c>
      <c r="E485" s="16" t="str">
        <f ca="1">IFERROR(__xludf.DUMMYFUNCTION("""COMPUTED_VALUE"""),"Player")</f>
        <v>Player</v>
      </c>
      <c r="F485" s="8" t="str">
        <f ca="1">IFERROR(__xludf.DUMMYFUNCTION("""COMPUTED_VALUE"""),"Duncan, Chris R")</f>
        <v>Duncan, Chris R</v>
      </c>
      <c r="G485" s="16" t="str">
        <f ca="1">IFERROR(__xludf.DUMMYFUNCTION("""COMPUTED_VALUE"""),"ENG")</f>
        <v>ENG</v>
      </c>
      <c r="H485" s="8"/>
      <c r="I485" s="8">
        <f ca="1">IFERROR(__xludf.DUMMYFUNCTION("""COMPUTED_VALUE"""),100)</f>
        <v>100</v>
      </c>
      <c r="J485" s="8"/>
      <c r="K485" s="8"/>
      <c r="L485" s="8" t="str">
        <f ca="1">IFERROR(__xludf.DUMMYFUNCTION("""COMPUTED_VALUE"""),"Blackthorne")</f>
        <v>Blackthorne</v>
      </c>
      <c r="M485" s="16" t="str">
        <f ca="1">IFERROR(__xludf.DUMMYFUNCTION("""COMPUTED_VALUE"""),"ENG")</f>
        <v>ENG</v>
      </c>
      <c r="N485" s="16" t="str">
        <f ca="1">IFERROR(__xludf.DUMMYFUNCTION("""COMPUTED_VALUE"""),"Breza")</f>
        <v>Breza</v>
      </c>
      <c r="O485" s="8"/>
      <c r="P485" s="8">
        <f ca="1">IFERROR(__xludf.DUMMYFUNCTION("""COMPUTED_VALUE"""),82)</f>
        <v>82</v>
      </c>
      <c r="Q485" s="8">
        <f ca="1">IFERROR(__xludf.DUMMYFUNCTION("""COMPUTED_VALUE"""),8)</f>
        <v>8</v>
      </c>
      <c r="R485" s="8">
        <f ca="1">IFERROR(__xludf.DUMMYFUNCTION("""COMPUTED_VALUE"""),656)</f>
        <v>656</v>
      </c>
      <c r="S485" s="8">
        <f ca="1">IFERROR(__xludf.DUMMYFUNCTION("""COMPUTED_VALUE"""),12.8)</f>
        <v>12.8</v>
      </c>
      <c r="T485" s="8">
        <f ca="1">IFERROR(__xludf.DUMMYFUNCTION("""COMPUTED_VALUE"""),668.8)</f>
        <v>668.8</v>
      </c>
      <c r="U485" s="8"/>
      <c r="V485" s="8"/>
      <c r="W485" s="8"/>
      <c r="X485" s="8"/>
      <c r="Y485" s="8"/>
      <c r="Z485" s="37" t="str">
        <f ca="1">IFERROR(__xludf.DUMMYFUNCTION("""COMPUTED_VALUE"""),"W9 4001")</f>
        <v>W9 4001</v>
      </c>
      <c r="AA485" s="37" t="str">
        <f ca="1">IFERROR(__xludf.DUMMYFUNCTION("""COMPUTED_VALUE"""),"27/10/2024")</f>
        <v>27/10/2024</v>
      </c>
      <c r="AB485" s="64">
        <f ca="1">IFERROR(__xludf.DUMMYFUNCTION("""COMPUTED_VALUE"""),0.972222222222222)</f>
        <v>0.97222222222222199</v>
      </c>
    </row>
    <row r="486" spans="1:28" ht="14.55" customHeight="1" x14ac:dyDescent="0.3">
      <c r="A486" s="8">
        <v>6</v>
      </c>
      <c r="B486" s="8"/>
      <c r="C486" s="8"/>
      <c r="D486" s="13">
        <f ca="1">IFERROR(__xludf.DUMMYFUNCTION("""COMPUTED_VALUE"""),45543)</f>
        <v>45543</v>
      </c>
      <c r="E486" s="16" t="str">
        <f ca="1">IFERROR(__xludf.DUMMYFUNCTION("""COMPUTED_VALUE"""),"Player")</f>
        <v>Player</v>
      </c>
      <c r="F486" s="8" t="str">
        <f ca="1">IFERROR(__xludf.DUMMYFUNCTION("""COMPUTED_VALUE"""),"Ledger, Stephen C")</f>
        <v>Ledger, Stephen C</v>
      </c>
      <c r="G486" s="16" t="str">
        <f ca="1">IFERROR(__xludf.DUMMYFUNCTION("""COMPUTED_VALUE"""),"ENG")</f>
        <v>ENG</v>
      </c>
      <c r="H486" s="8"/>
      <c r="I486" s="8">
        <f ca="1">IFERROR(__xludf.DUMMYFUNCTION("""COMPUTED_VALUE"""),100)</f>
        <v>100</v>
      </c>
      <c r="J486" s="8"/>
      <c r="K486" s="8"/>
      <c r="L486" s="8" t="str">
        <f ca="1">IFERROR(__xludf.DUMMYFUNCTION("""COMPUTED_VALUE"""),"Blackthorne")</f>
        <v>Blackthorne</v>
      </c>
      <c r="M486" s="16" t="str">
        <f ca="1">IFERROR(__xludf.DUMMYFUNCTION("""COMPUTED_VALUE"""),"ENG")</f>
        <v>ENG</v>
      </c>
      <c r="N486" s="16" t="str">
        <f ca="1">IFERROR(__xludf.DUMMYFUNCTION("""COMPUTED_VALUE"""),"Breza")</f>
        <v>Breza</v>
      </c>
      <c r="O486" s="8"/>
      <c r="P486" s="8">
        <f ca="1">IFERROR(__xludf.DUMMYFUNCTION("""COMPUTED_VALUE"""),82)</f>
        <v>82</v>
      </c>
      <c r="Q486" s="8">
        <f ca="1">IFERROR(__xludf.DUMMYFUNCTION("""COMPUTED_VALUE"""),8)</f>
        <v>8</v>
      </c>
      <c r="R486" s="8">
        <f ca="1">IFERROR(__xludf.DUMMYFUNCTION("""COMPUTED_VALUE"""),656)</f>
        <v>656</v>
      </c>
      <c r="S486" s="8">
        <f ca="1">IFERROR(__xludf.DUMMYFUNCTION("""COMPUTED_VALUE"""),12.8)</f>
        <v>12.8</v>
      </c>
      <c r="T486" s="8">
        <f ca="1">IFERROR(__xludf.DUMMYFUNCTION("""COMPUTED_VALUE"""),668.8)</f>
        <v>668.8</v>
      </c>
      <c r="U486" s="8"/>
      <c r="V486" s="8"/>
      <c r="W486" s="8"/>
      <c r="X486" s="8"/>
      <c r="Y486" s="8"/>
      <c r="Z486" s="37" t="str">
        <f ca="1">IFERROR(__xludf.DUMMYFUNCTION("""COMPUTED_VALUE"""),"W9 4001")</f>
        <v>W9 4001</v>
      </c>
      <c r="AA486" s="37" t="str">
        <f ca="1">IFERROR(__xludf.DUMMYFUNCTION("""COMPUTED_VALUE"""),"27/10/2024")</f>
        <v>27/10/2024</v>
      </c>
      <c r="AB486" s="64">
        <f ca="1">IFERROR(__xludf.DUMMYFUNCTION("""COMPUTED_VALUE"""),0.972222222222222)</f>
        <v>0.97222222222222199</v>
      </c>
    </row>
    <row r="487" spans="1:28" ht="14.55" customHeight="1" x14ac:dyDescent="0.3">
      <c r="A487" s="8">
        <v>7</v>
      </c>
      <c r="B487" s="8"/>
      <c r="C487" s="8"/>
      <c r="D487" s="8" t="str">
        <f ca="1">IFERROR(__xludf.DUMMYFUNCTION("""COMPUTED_VALUE"""),"26/07/2024")</f>
        <v>26/07/2024</v>
      </c>
      <c r="E487" s="16" t="str">
        <f ca="1">IFERROR(__xludf.DUMMYFUNCTION("""COMPUTED_VALUE"""),"Player")</f>
        <v>Player</v>
      </c>
      <c r="F487" s="8" t="str">
        <f ca="1">IFERROR(__xludf.DUMMYFUNCTION("""COMPUTED_VALUE"""),"Bullen, Alex")</f>
        <v>Bullen, Alex</v>
      </c>
      <c r="G487" s="16" t="str">
        <f ca="1">IFERROR(__xludf.DUMMYFUNCTION("""COMPUTED_VALUE"""),"WLS")</f>
        <v>WLS</v>
      </c>
      <c r="H487" s="8"/>
      <c r="I487" s="8">
        <f ca="1">IFERROR(__xludf.DUMMYFUNCTION("""COMPUTED_VALUE"""),100)</f>
        <v>100</v>
      </c>
      <c r="J487" s="8"/>
      <c r="K487" s="8"/>
      <c r="L487" s="8" t="str">
        <f ca="1">IFERROR(__xludf.DUMMYFUNCTION("""COMPUTED_VALUE"""),"Cardiff Chess Club")</f>
        <v>Cardiff Chess Club</v>
      </c>
      <c r="M487" s="16" t="str">
        <f ca="1">IFERROR(__xludf.DUMMYFUNCTION("""COMPUTED_VALUE"""),"WLS")</f>
        <v>WLS</v>
      </c>
      <c r="N487" s="16" t="str">
        <f ca="1">IFERROR(__xludf.DUMMYFUNCTION("""COMPUTED_VALUE"""),"Zepter")</f>
        <v>Zepter</v>
      </c>
      <c r="O487" s="8"/>
      <c r="P487" s="8">
        <f ca="1">IFERROR(__xludf.DUMMYFUNCTION("""COMPUTED_VALUE"""),104)</f>
        <v>104</v>
      </c>
      <c r="Q487" s="8">
        <f ca="1">IFERROR(__xludf.DUMMYFUNCTION("""COMPUTED_VALUE"""),8)</f>
        <v>8</v>
      </c>
      <c r="R487" s="8">
        <f ca="1">IFERROR(__xludf.DUMMYFUNCTION("""COMPUTED_VALUE"""),832)</f>
        <v>832</v>
      </c>
      <c r="S487" s="8">
        <f ca="1">IFERROR(__xludf.DUMMYFUNCTION("""COMPUTED_VALUE"""),12.8)</f>
        <v>12.8</v>
      </c>
      <c r="T487" s="8">
        <f ca="1">IFERROR(__xludf.DUMMYFUNCTION("""COMPUTED_VALUE"""),844.8)</f>
        <v>844.8</v>
      </c>
      <c r="U487" s="8"/>
      <c r="V487" s="8"/>
      <c r="W487" s="8"/>
      <c r="X487" s="8"/>
      <c r="Y487" s="8"/>
      <c r="Z487" s="37" t="str">
        <f ca="1">IFERROR(__xludf.DUMMYFUNCTION("""COMPUTED_VALUE"""),"W94001")</f>
        <v>W94001</v>
      </c>
      <c r="AA487" s="37" t="str">
        <f ca="1">IFERROR(__xludf.DUMMYFUNCTION("""COMPUTED_VALUE"""),"27/10/2024")</f>
        <v>27/10/2024</v>
      </c>
      <c r="AB487" s="64">
        <f ca="1">IFERROR(__xludf.DUMMYFUNCTION("""COMPUTED_VALUE"""),0.972222222222222)</f>
        <v>0.97222222222222199</v>
      </c>
    </row>
    <row r="488" spans="1:28" ht="14.55" customHeight="1" x14ac:dyDescent="0.3">
      <c r="A488" s="8">
        <v>8</v>
      </c>
      <c r="B488" s="8"/>
      <c r="C488" s="8"/>
      <c r="D488" s="8" t="str">
        <f ca="1">IFERROR(__xludf.DUMMYFUNCTION("""COMPUTED_VALUE"""),"26/07/2024")</f>
        <v>26/07/2024</v>
      </c>
      <c r="E488" s="16" t="str">
        <f ca="1">IFERROR(__xludf.DUMMYFUNCTION("""COMPUTED_VALUE"""),"Player")</f>
        <v>Player</v>
      </c>
      <c r="F488" s="8" t="str">
        <f ca="1">IFERROR(__xludf.DUMMYFUNCTION("""COMPUTED_VALUE"""),"Fathallah, Joe")</f>
        <v>Fathallah, Joe</v>
      </c>
      <c r="G488" s="16" t="str">
        <f ca="1">IFERROR(__xludf.DUMMYFUNCTION("""COMPUTED_VALUE"""),"WLS")</f>
        <v>WLS</v>
      </c>
      <c r="H488" s="8"/>
      <c r="I488" s="8">
        <f ca="1">IFERROR(__xludf.DUMMYFUNCTION("""COMPUTED_VALUE"""),100)</f>
        <v>100</v>
      </c>
      <c r="J488" s="8"/>
      <c r="K488" s="8"/>
      <c r="L488" s="8" t="str">
        <f ca="1">IFERROR(__xludf.DUMMYFUNCTION("""COMPUTED_VALUE"""),"Cardiff Chess Club")</f>
        <v>Cardiff Chess Club</v>
      </c>
      <c r="M488" s="16" t="str">
        <f ca="1">IFERROR(__xludf.DUMMYFUNCTION("""COMPUTED_VALUE"""),"WLS")</f>
        <v>WLS</v>
      </c>
      <c r="N488" s="16" t="str">
        <f ca="1">IFERROR(__xludf.DUMMYFUNCTION("""COMPUTED_VALUE"""),"Zepter")</f>
        <v>Zepter</v>
      </c>
      <c r="O488" s="8" t="str">
        <f ca="1">IFERROR(__xludf.DUMMYFUNCTION("""COMPUTED_VALUE"""),"Leon")</f>
        <v>Leon</v>
      </c>
      <c r="P488" s="8">
        <f ca="1">IFERROR(__xludf.DUMMYFUNCTION("""COMPUTED_VALUE"""),82)</f>
        <v>82</v>
      </c>
      <c r="Q488" s="8">
        <f ca="1">IFERROR(__xludf.DUMMYFUNCTION("""COMPUTED_VALUE"""),8)</f>
        <v>8</v>
      </c>
      <c r="R488" s="8">
        <f ca="1">IFERROR(__xludf.DUMMYFUNCTION("""COMPUTED_VALUE"""),656)</f>
        <v>656</v>
      </c>
      <c r="S488" s="8">
        <f ca="1">IFERROR(__xludf.DUMMYFUNCTION("""COMPUTED_VALUE"""),12.8)</f>
        <v>12.8</v>
      </c>
      <c r="T488" s="8">
        <f ca="1">IFERROR(__xludf.DUMMYFUNCTION("""COMPUTED_VALUE"""),668.8)</f>
        <v>668.8</v>
      </c>
      <c r="U488" s="8"/>
      <c r="V488" s="8"/>
      <c r="W488" s="8"/>
      <c r="X488" s="8" t="str">
        <f ca="1">IFERROR(__xludf.DUMMYFUNCTION("""COMPUTED_VALUE"""),"jednokr 3 dana")</f>
        <v>jednokr 3 dana</v>
      </c>
      <c r="Y488" s="8"/>
      <c r="Z488" s="37" t="str">
        <f ca="1">IFERROR(__xludf.DUMMYFUNCTION("""COMPUTED_VALUE"""),"W94001")</f>
        <v>W94001</v>
      </c>
      <c r="AA488" s="37" t="str">
        <f ca="1">IFERROR(__xludf.DUMMYFUNCTION("""COMPUTED_VALUE"""),"27/10/2024")</f>
        <v>27/10/2024</v>
      </c>
      <c r="AB488" s="64">
        <f ca="1">IFERROR(__xludf.DUMMYFUNCTION("""COMPUTED_VALUE"""),0.972222222222222)</f>
        <v>0.97222222222222199</v>
      </c>
    </row>
    <row r="489" spans="1:28" ht="14.55" customHeight="1" x14ac:dyDescent="0.3">
      <c r="A489" s="8">
        <v>9</v>
      </c>
      <c r="B489" s="8"/>
      <c r="C489" s="8"/>
      <c r="D489" s="8" t="str">
        <f ca="1">IFERROR(__xludf.DUMMYFUNCTION("""COMPUTED_VALUE"""),"26/07/2024")</f>
        <v>26/07/2024</v>
      </c>
      <c r="E489" s="16" t="str">
        <f ca="1">IFERROR(__xludf.DUMMYFUNCTION("""COMPUTED_VALUE"""),"Player")</f>
        <v>Player</v>
      </c>
      <c r="F489" s="8" t="str">
        <f ca="1">IFERROR(__xludf.DUMMYFUNCTION("""COMPUTED_VALUE"""),"Davies, Callum")</f>
        <v>Davies, Callum</v>
      </c>
      <c r="G489" s="16" t="str">
        <f ca="1">IFERROR(__xludf.DUMMYFUNCTION("""COMPUTED_VALUE"""),"WLS")</f>
        <v>WLS</v>
      </c>
      <c r="H489" s="8"/>
      <c r="I489" s="8">
        <f ca="1">IFERROR(__xludf.DUMMYFUNCTION("""COMPUTED_VALUE"""),100)</f>
        <v>100</v>
      </c>
      <c r="J489" s="8"/>
      <c r="K489" s="8"/>
      <c r="L489" s="8" t="str">
        <f ca="1">IFERROR(__xludf.DUMMYFUNCTION("""COMPUTED_VALUE"""),"Cardiff Chess Club")</f>
        <v>Cardiff Chess Club</v>
      </c>
      <c r="M489" s="16" t="str">
        <f ca="1">IFERROR(__xludf.DUMMYFUNCTION("""COMPUTED_VALUE"""),"WLS")</f>
        <v>WLS</v>
      </c>
      <c r="N489" s="16" t="str">
        <f ca="1">IFERROR(__xludf.DUMMYFUNCTION("""COMPUTED_VALUE"""),"Zepter")</f>
        <v>Zepter</v>
      </c>
      <c r="O489" s="8" t="str">
        <f ca="1">IFERROR(__xludf.DUMMYFUNCTION("""COMPUTED_VALUE"""),"Zack")</f>
        <v>Zack</v>
      </c>
      <c r="P489" s="8">
        <f ca="1">IFERROR(__xludf.DUMMYFUNCTION("""COMPUTED_VALUE"""),82)</f>
        <v>82</v>
      </c>
      <c r="Q489" s="8">
        <f ca="1">IFERROR(__xludf.DUMMYFUNCTION("""COMPUTED_VALUE"""),8)</f>
        <v>8</v>
      </c>
      <c r="R489" s="8">
        <f ca="1">IFERROR(__xludf.DUMMYFUNCTION("""COMPUTED_VALUE"""),656)</f>
        <v>656</v>
      </c>
      <c r="S489" s="8">
        <f ca="1">IFERROR(__xludf.DUMMYFUNCTION("""COMPUTED_VALUE"""),12.8)</f>
        <v>12.8</v>
      </c>
      <c r="T489" s="8">
        <f ca="1">IFERROR(__xludf.DUMMYFUNCTION("""COMPUTED_VALUE"""),668.8)</f>
        <v>668.8</v>
      </c>
      <c r="U489" s="8"/>
      <c r="V489" s="8"/>
      <c r="W489" s="8"/>
      <c r="X489" s="8"/>
      <c r="Y489" s="8"/>
      <c r="Z489" s="37" t="str">
        <f ca="1">IFERROR(__xludf.DUMMYFUNCTION("""COMPUTED_VALUE"""),"W94001")</f>
        <v>W94001</v>
      </c>
      <c r="AA489" s="37" t="str">
        <f ca="1">IFERROR(__xludf.DUMMYFUNCTION("""COMPUTED_VALUE"""),"27/10/2024")</f>
        <v>27/10/2024</v>
      </c>
      <c r="AB489" s="64">
        <f ca="1">IFERROR(__xludf.DUMMYFUNCTION("""COMPUTED_VALUE"""),0.972222222222222)</f>
        <v>0.97222222222222199</v>
      </c>
    </row>
    <row r="490" spans="1:28" ht="14.55" customHeight="1" x14ac:dyDescent="0.3">
      <c r="A490" s="8">
        <v>10</v>
      </c>
      <c r="B490" s="8"/>
      <c r="C490" s="8"/>
      <c r="D490" s="8" t="str">
        <f ca="1">IFERROR(__xludf.DUMMYFUNCTION("""COMPUTED_VALUE"""),"26/07/2024")</f>
        <v>26/07/2024</v>
      </c>
      <c r="E490" s="16" t="str">
        <f ca="1">IFERROR(__xludf.DUMMYFUNCTION("""COMPUTED_VALUE"""),"Player")</f>
        <v>Player</v>
      </c>
      <c r="F490" s="8" t="str">
        <f ca="1">IFERROR(__xludf.DUMMYFUNCTION("""COMPUTED_VALUE"""),"McGhee, David")</f>
        <v>McGhee, David</v>
      </c>
      <c r="G490" s="16" t="str">
        <f ca="1">IFERROR(__xludf.DUMMYFUNCTION("""COMPUTED_VALUE"""),"WLS")</f>
        <v>WLS</v>
      </c>
      <c r="H490" s="8"/>
      <c r="I490" s="8">
        <f ca="1">IFERROR(__xludf.DUMMYFUNCTION("""COMPUTED_VALUE"""),100)</f>
        <v>100</v>
      </c>
      <c r="J490" s="8"/>
      <c r="K490" s="8"/>
      <c r="L490" s="8" t="str">
        <f ca="1">IFERROR(__xludf.DUMMYFUNCTION("""COMPUTED_VALUE"""),"Cardiff Chess Club")</f>
        <v>Cardiff Chess Club</v>
      </c>
      <c r="M490" s="16" t="str">
        <f ca="1">IFERROR(__xludf.DUMMYFUNCTION("""COMPUTED_VALUE"""),"WLS")</f>
        <v>WLS</v>
      </c>
      <c r="N490" s="16" t="str">
        <f ca="1">IFERROR(__xludf.DUMMYFUNCTION("""COMPUTED_VALUE"""),"Zepter")</f>
        <v>Zepter</v>
      </c>
      <c r="O490" s="8"/>
      <c r="P490" s="8">
        <f ca="1">IFERROR(__xludf.DUMMYFUNCTION("""COMPUTED_VALUE"""),104)</f>
        <v>104</v>
      </c>
      <c r="Q490" s="8">
        <f ca="1">IFERROR(__xludf.DUMMYFUNCTION("""COMPUTED_VALUE"""),8)</f>
        <v>8</v>
      </c>
      <c r="R490" s="8">
        <f ca="1">IFERROR(__xludf.DUMMYFUNCTION("""COMPUTED_VALUE"""),832)</f>
        <v>832</v>
      </c>
      <c r="S490" s="8">
        <f ca="1">IFERROR(__xludf.DUMMYFUNCTION("""COMPUTED_VALUE"""),12.8)</f>
        <v>12.8</v>
      </c>
      <c r="T490" s="8">
        <f ca="1">IFERROR(__xludf.DUMMYFUNCTION("""COMPUTED_VALUE"""),844.8)</f>
        <v>844.8</v>
      </c>
      <c r="U490" s="8"/>
      <c r="V490" s="8"/>
      <c r="W490" s="8"/>
      <c r="X490" s="8"/>
      <c r="Y490" s="8"/>
      <c r="Z490" s="37" t="str">
        <f ca="1">IFERROR(__xludf.DUMMYFUNCTION("""COMPUTED_VALUE"""),"W94001")</f>
        <v>W94001</v>
      </c>
      <c r="AA490" s="37" t="str">
        <f ca="1">IFERROR(__xludf.DUMMYFUNCTION("""COMPUTED_VALUE"""),"27/10/2024")</f>
        <v>27/10/2024</v>
      </c>
      <c r="AB490" s="64">
        <f ca="1">IFERROR(__xludf.DUMMYFUNCTION("""COMPUTED_VALUE"""),0.972222222222222)</f>
        <v>0.97222222222222199</v>
      </c>
    </row>
    <row r="491" spans="1:28" ht="14.55" customHeight="1" x14ac:dyDescent="0.3">
      <c r="A491" s="8">
        <v>11</v>
      </c>
      <c r="B491" s="8"/>
      <c r="C491" s="8"/>
      <c r="D491" s="8" t="str">
        <f ca="1">IFERROR(__xludf.DUMMYFUNCTION("""COMPUTED_VALUE"""),"26/07/2024")</f>
        <v>26/07/2024</v>
      </c>
      <c r="E491" s="16" t="str">
        <f ca="1">IFERROR(__xludf.DUMMYFUNCTION("""COMPUTED_VALUE"""),"Player")</f>
        <v>Player</v>
      </c>
      <c r="F491" s="8" t="str">
        <f ca="1">IFERROR(__xludf.DUMMYFUNCTION("""COMPUTED_VALUE"""),"Wagner, Guy")</f>
        <v>Wagner, Guy</v>
      </c>
      <c r="G491" s="16" t="str">
        <f ca="1">IFERROR(__xludf.DUMMYFUNCTION("""COMPUTED_VALUE"""),"WLS")</f>
        <v>WLS</v>
      </c>
      <c r="H491" s="8"/>
      <c r="I491" s="8">
        <f ca="1">IFERROR(__xludf.DUMMYFUNCTION("""COMPUTED_VALUE"""),100)</f>
        <v>100</v>
      </c>
      <c r="J491" s="8"/>
      <c r="K491" s="8"/>
      <c r="L491" s="8" t="str">
        <f ca="1">IFERROR(__xludf.DUMMYFUNCTION("""COMPUTED_VALUE"""),"Cardiff Chess Club")</f>
        <v>Cardiff Chess Club</v>
      </c>
      <c r="M491" s="16" t="str">
        <f ca="1">IFERROR(__xludf.DUMMYFUNCTION("""COMPUTED_VALUE"""),"WLS")</f>
        <v>WLS</v>
      </c>
      <c r="N491" s="16" t="str">
        <f ca="1">IFERROR(__xludf.DUMMYFUNCTION("""COMPUTED_VALUE"""),"Zepter")</f>
        <v>Zepter</v>
      </c>
      <c r="O491" s="8"/>
      <c r="P491" s="8">
        <f ca="1">IFERROR(__xludf.DUMMYFUNCTION("""COMPUTED_VALUE"""),104)</f>
        <v>104</v>
      </c>
      <c r="Q491" s="8">
        <f ca="1">IFERROR(__xludf.DUMMYFUNCTION("""COMPUTED_VALUE"""),8)</f>
        <v>8</v>
      </c>
      <c r="R491" s="8">
        <f ca="1">IFERROR(__xludf.DUMMYFUNCTION("""COMPUTED_VALUE"""),832)</f>
        <v>832</v>
      </c>
      <c r="S491" s="8">
        <f ca="1">IFERROR(__xludf.DUMMYFUNCTION("""COMPUTED_VALUE"""),12.8)</f>
        <v>12.8</v>
      </c>
      <c r="T491" s="8">
        <f ca="1">IFERROR(__xludf.DUMMYFUNCTION("""COMPUTED_VALUE"""),844.8)</f>
        <v>844.8</v>
      </c>
      <c r="U491" s="8"/>
      <c r="V491" s="8"/>
      <c r="W491" s="8"/>
      <c r="X491" s="8"/>
      <c r="Y491" s="8"/>
      <c r="Z491" s="37" t="str">
        <f ca="1">IFERROR(__xludf.DUMMYFUNCTION("""COMPUTED_VALUE"""),"W94001")</f>
        <v>W94001</v>
      </c>
      <c r="AA491" s="37" t="str">
        <f ca="1">IFERROR(__xludf.DUMMYFUNCTION("""COMPUTED_VALUE"""),"27/10/2024")</f>
        <v>27/10/2024</v>
      </c>
      <c r="AB491" s="64">
        <f ca="1">IFERROR(__xludf.DUMMYFUNCTION("""COMPUTED_VALUE"""),0.972222222222222)</f>
        <v>0.97222222222222199</v>
      </c>
    </row>
    <row r="492" spans="1:28" ht="14.55" customHeight="1" x14ac:dyDescent="0.3">
      <c r="A492" s="8">
        <v>12</v>
      </c>
      <c r="B492" s="8"/>
      <c r="C492" s="8"/>
      <c r="D492" s="8" t="str">
        <f ca="1">IFERROR(__xludf.DUMMYFUNCTION("""COMPUTED_VALUE"""),"26/07/2024")</f>
        <v>26/07/2024</v>
      </c>
      <c r="E492" s="16" t="str">
        <f ca="1">IFERROR(__xludf.DUMMYFUNCTION("""COMPUTED_VALUE"""),"Player")</f>
        <v>Player</v>
      </c>
      <c r="F492" s="8" t="str">
        <f ca="1">IFERROR(__xludf.DUMMYFUNCTION("""COMPUTED_VALUE"""),"Wilkins, Zack")</f>
        <v>Wilkins, Zack</v>
      </c>
      <c r="G492" s="16" t="str">
        <f ca="1">IFERROR(__xludf.DUMMYFUNCTION("""COMPUTED_VALUE"""),"WLS")</f>
        <v>WLS</v>
      </c>
      <c r="H492" s="8"/>
      <c r="I492" s="8">
        <f ca="1">IFERROR(__xludf.DUMMYFUNCTION("""COMPUTED_VALUE"""),100)</f>
        <v>100</v>
      </c>
      <c r="J492" s="8"/>
      <c r="K492" s="8"/>
      <c r="L492" s="8" t="str">
        <f ca="1">IFERROR(__xludf.DUMMYFUNCTION("""COMPUTED_VALUE"""),"Cardiff Chess Club")</f>
        <v>Cardiff Chess Club</v>
      </c>
      <c r="M492" s="16" t="str">
        <f ca="1">IFERROR(__xludf.DUMMYFUNCTION("""COMPUTED_VALUE"""),"WLS")</f>
        <v>WLS</v>
      </c>
      <c r="N492" s="16" t="str">
        <f ca="1">IFERROR(__xludf.DUMMYFUNCTION("""COMPUTED_VALUE"""),"Zepter")</f>
        <v>Zepter</v>
      </c>
      <c r="O492" s="8" t="str">
        <f ca="1">IFERROR(__xludf.DUMMYFUNCTION("""COMPUTED_VALUE"""),"Callum")</f>
        <v>Callum</v>
      </c>
      <c r="P492" s="8">
        <f ca="1">IFERROR(__xludf.DUMMYFUNCTION("""COMPUTED_VALUE"""),82)</f>
        <v>82</v>
      </c>
      <c r="Q492" s="8">
        <f ca="1">IFERROR(__xludf.DUMMYFUNCTION("""COMPUTED_VALUE"""),8)</f>
        <v>8</v>
      </c>
      <c r="R492" s="8">
        <f ca="1">IFERROR(__xludf.DUMMYFUNCTION("""COMPUTED_VALUE"""),656)</f>
        <v>656</v>
      </c>
      <c r="S492" s="8">
        <f ca="1">IFERROR(__xludf.DUMMYFUNCTION("""COMPUTED_VALUE"""),12.8)</f>
        <v>12.8</v>
      </c>
      <c r="T492" s="8">
        <f ca="1">IFERROR(__xludf.DUMMYFUNCTION("""COMPUTED_VALUE"""),668.8)</f>
        <v>668.8</v>
      </c>
      <c r="U492" s="8"/>
      <c r="V492" s="8"/>
      <c r="W492" s="8"/>
      <c r="X492" s="8"/>
      <c r="Y492" s="8"/>
      <c r="Z492" s="37" t="str">
        <f ca="1">IFERROR(__xludf.DUMMYFUNCTION("""COMPUTED_VALUE"""),"W94001")</f>
        <v>W94001</v>
      </c>
      <c r="AA492" s="37" t="str">
        <f ca="1">IFERROR(__xludf.DUMMYFUNCTION("""COMPUTED_VALUE"""),"27/10/2024")</f>
        <v>27/10/2024</v>
      </c>
      <c r="AB492" s="64">
        <f ca="1">IFERROR(__xludf.DUMMYFUNCTION("""COMPUTED_VALUE"""),0.972222222222222)</f>
        <v>0.97222222222222199</v>
      </c>
    </row>
    <row r="493" spans="1:28" ht="14.55" customHeight="1" x14ac:dyDescent="0.3">
      <c r="A493" s="8">
        <v>13</v>
      </c>
      <c r="B493" s="8"/>
      <c r="C493" s="8"/>
      <c r="D493" s="8" t="str">
        <f ca="1">IFERROR(__xludf.DUMMYFUNCTION("""COMPUTED_VALUE"""),"20/07/2024")</f>
        <v>20/07/2024</v>
      </c>
      <c r="E493" s="16" t="str">
        <f ca="1">IFERROR(__xludf.DUMMYFUNCTION("""COMPUTED_VALUE"""),"Player")</f>
        <v>Player</v>
      </c>
      <c r="F493" s="8" t="str">
        <f ca="1">IFERROR(__xludf.DUMMYFUNCTION("""COMPUTED_VALUE"""),"Quinn, Rory")</f>
        <v>Quinn, Rory</v>
      </c>
      <c r="G493" s="16" t="str">
        <f ca="1">IFERROR(__xludf.DUMMYFUNCTION("""COMPUTED_VALUE"""),"IRL")</f>
        <v>IRL</v>
      </c>
      <c r="H493" s="8"/>
      <c r="I493" s="8">
        <f ca="1">IFERROR(__xludf.DUMMYFUNCTION("""COMPUTED_VALUE"""),100)</f>
        <v>100</v>
      </c>
      <c r="J493" s="8"/>
      <c r="K493" s="8"/>
      <c r="L493" s="8" t="str">
        <f ca="1">IFERROR(__xludf.DUMMYFUNCTION("""COMPUTED_VALUE"""),"Ennis Chess Club")</f>
        <v>Ennis Chess Club</v>
      </c>
      <c r="M493" s="16" t="str">
        <f ca="1">IFERROR(__xludf.DUMMYFUNCTION("""COMPUTED_VALUE"""),"IRL")</f>
        <v>IRL</v>
      </c>
      <c r="N493" s="16" t="str">
        <f ca="1">IFERROR(__xludf.DUMMYFUNCTION("""COMPUTED_VALUE"""),"Zepter")</f>
        <v>Zepter</v>
      </c>
      <c r="O493" s="8"/>
      <c r="P493" s="8">
        <f ca="1">IFERROR(__xludf.DUMMYFUNCTION("""COMPUTED_VALUE"""),104)</f>
        <v>104</v>
      </c>
      <c r="Q493" s="8">
        <f ca="1">IFERROR(__xludf.DUMMYFUNCTION("""COMPUTED_VALUE"""),9)</f>
        <v>9</v>
      </c>
      <c r="R493" s="8">
        <f ca="1">IFERROR(__xludf.DUMMYFUNCTION("""COMPUTED_VALUE"""),936)</f>
        <v>936</v>
      </c>
      <c r="S493" s="8">
        <f ca="1">IFERROR(__xludf.DUMMYFUNCTION("""COMPUTED_VALUE"""),14.4)</f>
        <v>14.4</v>
      </c>
      <c r="T493" s="8">
        <f ca="1">IFERROR(__xludf.DUMMYFUNCTION("""COMPUTED_VALUE"""),950.4)</f>
        <v>950.4</v>
      </c>
      <c r="U493" s="8"/>
      <c r="V493" s="8"/>
      <c r="W493" s="8"/>
      <c r="X493" s="8"/>
      <c r="Y493" s="8"/>
      <c r="Z493" s="37" t="str">
        <f ca="1">IFERROR(__xludf.DUMMYFUNCTION("""COMPUTED_VALUE"""),"W94001")</f>
        <v>W94001</v>
      </c>
      <c r="AA493" s="37" t="str">
        <f ca="1">IFERROR(__xludf.DUMMYFUNCTION("""COMPUTED_VALUE"""),"27/10/2024")</f>
        <v>27/10/2024</v>
      </c>
      <c r="AB493" s="64">
        <f ca="1">IFERROR(__xludf.DUMMYFUNCTION("""COMPUTED_VALUE"""),0.972222222222222)</f>
        <v>0.97222222222222199</v>
      </c>
    </row>
    <row r="494" spans="1:28" ht="14.55" customHeight="1" x14ac:dyDescent="0.3">
      <c r="A494" s="8">
        <v>14</v>
      </c>
      <c r="B494" s="8"/>
      <c r="C494" s="8"/>
      <c r="D494" s="8" t="str">
        <f ca="1">IFERROR(__xludf.DUMMYFUNCTION("""COMPUTED_VALUE"""),"20/07/2024")</f>
        <v>20/07/2024</v>
      </c>
      <c r="E494" s="16" t="str">
        <f ca="1">IFERROR(__xludf.DUMMYFUNCTION("""COMPUTED_VALUE"""),"Player")</f>
        <v>Player</v>
      </c>
      <c r="F494" s="8" t="str">
        <f ca="1">IFERROR(__xludf.DUMMYFUNCTION("""COMPUTED_VALUE"""),"Dunne, Thomas Junior")</f>
        <v>Dunne, Thomas Junior</v>
      </c>
      <c r="G494" s="16" t="str">
        <f ca="1">IFERROR(__xludf.DUMMYFUNCTION("""COMPUTED_VALUE"""),"IRL")</f>
        <v>IRL</v>
      </c>
      <c r="H494" s="8"/>
      <c r="I494" s="8">
        <f ca="1">IFERROR(__xludf.DUMMYFUNCTION("""COMPUTED_VALUE"""),100)</f>
        <v>100</v>
      </c>
      <c r="J494" s="8"/>
      <c r="K494" s="8"/>
      <c r="L494" s="8" t="str">
        <f ca="1">IFERROR(__xludf.DUMMYFUNCTION("""COMPUTED_VALUE"""),"Ennis Chess Club")</f>
        <v>Ennis Chess Club</v>
      </c>
      <c r="M494" s="16" t="str">
        <f ca="1">IFERROR(__xludf.DUMMYFUNCTION("""COMPUTED_VALUE"""),"IRL")</f>
        <v>IRL</v>
      </c>
      <c r="N494" s="16" t="str">
        <f ca="1">IFERROR(__xludf.DUMMYFUNCTION("""COMPUTED_VALUE"""),"Zepter")</f>
        <v>Zepter</v>
      </c>
      <c r="O494" s="8"/>
      <c r="P494" s="8">
        <f ca="1">IFERROR(__xludf.DUMMYFUNCTION("""COMPUTED_VALUE"""),104)</f>
        <v>104</v>
      </c>
      <c r="Q494" s="8">
        <f ca="1">IFERROR(__xludf.DUMMYFUNCTION("""COMPUTED_VALUE"""),9)</f>
        <v>9</v>
      </c>
      <c r="R494" s="8">
        <f ca="1">IFERROR(__xludf.DUMMYFUNCTION("""COMPUTED_VALUE"""),936)</f>
        <v>936</v>
      </c>
      <c r="S494" s="8">
        <f ca="1">IFERROR(__xludf.DUMMYFUNCTION("""COMPUTED_VALUE"""),14.4)</f>
        <v>14.4</v>
      </c>
      <c r="T494" s="8">
        <f ca="1">IFERROR(__xludf.DUMMYFUNCTION("""COMPUTED_VALUE"""),950.4)</f>
        <v>950.4</v>
      </c>
      <c r="U494" s="8"/>
      <c r="V494" s="8"/>
      <c r="W494" s="8"/>
      <c r="X494" s="8"/>
      <c r="Y494" s="8"/>
      <c r="Z494" s="37" t="str">
        <f ca="1">IFERROR(__xludf.DUMMYFUNCTION("""COMPUTED_VALUE"""),"W94001")</f>
        <v>W94001</v>
      </c>
      <c r="AA494" s="37" t="str">
        <f ca="1">IFERROR(__xludf.DUMMYFUNCTION("""COMPUTED_VALUE"""),"27/10/2024")</f>
        <v>27/10/2024</v>
      </c>
      <c r="AB494" s="64">
        <f ca="1">IFERROR(__xludf.DUMMYFUNCTION("""COMPUTED_VALUE"""),0.972222222222222)</f>
        <v>0.97222222222222199</v>
      </c>
    </row>
    <row r="495" spans="1:28" ht="14.55" customHeight="1" x14ac:dyDescent="0.3">
      <c r="A495" s="8">
        <v>15</v>
      </c>
      <c r="B495" s="8"/>
      <c r="C495" s="8"/>
      <c r="D495" s="8" t="str">
        <f ca="1">IFERROR(__xludf.DUMMYFUNCTION("""COMPUTED_VALUE"""),"20/07/2024")</f>
        <v>20/07/2024</v>
      </c>
      <c r="E495" s="16" t="str">
        <f ca="1">IFERROR(__xludf.DUMMYFUNCTION("""COMPUTED_VALUE"""),"Player")</f>
        <v>Player</v>
      </c>
      <c r="F495" s="8" t="str">
        <f ca="1">IFERROR(__xludf.DUMMYFUNCTION("""COMPUTED_VALUE"""),"Melling, Jonathon")</f>
        <v>Melling, Jonathon</v>
      </c>
      <c r="G495" s="16" t="str">
        <f ca="1">IFERROR(__xludf.DUMMYFUNCTION("""COMPUTED_VALUE"""),"IRL")</f>
        <v>IRL</v>
      </c>
      <c r="H495" s="8"/>
      <c r="I495" s="8">
        <f ca="1">IFERROR(__xludf.DUMMYFUNCTION("""COMPUTED_VALUE"""),100)</f>
        <v>100</v>
      </c>
      <c r="J495" s="8"/>
      <c r="K495" s="8"/>
      <c r="L495" s="8" t="str">
        <f ca="1">IFERROR(__xludf.DUMMYFUNCTION("""COMPUTED_VALUE"""),"Ennis Chess Club")</f>
        <v>Ennis Chess Club</v>
      </c>
      <c r="M495" s="16" t="str">
        <f ca="1">IFERROR(__xludf.DUMMYFUNCTION("""COMPUTED_VALUE"""),"IRL")</f>
        <v>IRL</v>
      </c>
      <c r="N495" s="16" t="str">
        <f ca="1">IFERROR(__xludf.DUMMYFUNCTION("""COMPUTED_VALUE"""),"Zepter")</f>
        <v>Zepter</v>
      </c>
      <c r="O495" s="8"/>
      <c r="P495" s="8">
        <f ca="1">IFERROR(__xludf.DUMMYFUNCTION("""COMPUTED_VALUE"""),104)</f>
        <v>104</v>
      </c>
      <c r="Q495" s="8">
        <f ca="1">IFERROR(__xludf.DUMMYFUNCTION("""COMPUTED_VALUE"""),9)</f>
        <v>9</v>
      </c>
      <c r="R495" s="8">
        <f ca="1">IFERROR(__xludf.DUMMYFUNCTION("""COMPUTED_VALUE"""),936)</f>
        <v>936</v>
      </c>
      <c r="S495" s="8">
        <f ca="1">IFERROR(__xludf.DUMMYFUNCTION("""COMPUTED_VALUE"""),14.4)</f>
        <v>14.4</v>
      </c>
      <c r="T495" s="8">
        <f ca="1">IFERROR(__xludf.DUMMYFUNCTION("""COMPUTED_VALUE"""),950.4)</f>
        <v>950.4</v>
      </c>
      <c r="U495" s="8"/>
      <c r="V495" s="8"/>
      <c r="W495" s="8"/>
      <c r="X495" s="8"/>
      <c r="Y495" s="8"/>
      <c r="Z495" s="37" t="str">
        <f ca="1">IFERROR(__xludf.DUMMYFUNCTION("""COMPUTED_VALUE"""),"W94001")</f>
        <v>W94001</v>
      </c>
      <c r="AA495" s="37" t="str">
        <f ca="1">IFERROR(__xludf.DUMMYFUNCTION("""COMPUTED_VALUE"""),"27/10/2024")</f>
        <v>27/10/2024</v>
      </c>
      <c r="AB495" s="64">
        <f ca="1">IFERROR(__xludf.DUMMYFUNCTION("""COMPUTED_VALUE"""),0.972222222222222)</f>
        <v>0.97222222222222199</v>
      </c>
    </row>
    <row r="496" spans="1:28" ht="14.55" customHeight="1" x14ac:dyDescent="0.3">
      <c r="A496" s="8">
        <v>16</v>
      </c>
      <c r="B496" s="8"/>
      <c r="C496" s="8"/>
      <c r="D496" s="8" t="str">
        <f ca="1">IFERROR(__xludf.DUMMYFUNCTION("""COMPUTED_VALUE"""),"20/07/2024")</f>
        <v>20/07/2024</v>
      </c>
      <c r="E496" s="16" t="str">
        <f ca="1">IFERROR(__xludf.DUMMYFUNCTION("""COMPUTED_VALUE"""),"Player")</f>
        <v>Player</v>
      </c>
      <c r="F496" s="8" t="str">
        <f ca="1">IFERROR(__xludf.DUMMYFUNCTION("""COMPUTED_VALUE"""),"Cassidy, John")</f>
        <v>Cassidy, John</v>
      </c>
      <c r="G496" s="16" t="str">
        <f ca="1">IFERROR(__xludf.DUMMYFUNCTION("""COMPUTED_VALUE"""),"IRL")</f>
        <v>IRL</v>
      </c>
      <c r="H496" s="8"/>
      <c r="I496" s="8">
        <f ca="1">IFERROR(__xludf.DUMMYFUNCTION("""COMPUTED_VALUE"""),100)</f>
        <v>100</v>
      </c>
      <c r="J496" s="8"/>
      <c r="K496" s="8"/>
      <c r="L496" s="8" t="str">
        <f ca="1">IFERROR(__xludf.DUMMYFUNCTION("""COMPUTED_VALUE"""),"Ennis Chess Club")</f>
        <v>Ennis Chess Club</v>
      </c>
      <c r="M496" s="16" t="str">
        <f ca="1">IFERROR(__xludf.DUMMYFUNCTION("""COMPUTED_VALUE"""),"IRL")</f>
        <v>IRL</v>
      </c>
      <c r="N496" s="16" t="str">
        <f ca="1">IFERROR(__xludf.DUMMYFUNCTION("""COMPUTED_VALUE"""),"Zepter")</f>
        <v>Zepter</v>
      </c>
      <c r="O496" s="8" t="str">
        <f ca="1">IFERROR(__xludf.DUMMYFUNCTION("""COMPUTED_VALUE"""),"James O’Sullivan")</f>
        <v>James O’Sullivan</v>
      </c>
      <c r="P496" s="8">
        <f ca="1">IFERROR(__xludf.DUMMYFUNCTION("""COMPUTED_VALUE"""),82)</f>
        <v>82</v>
      </c>
      <c r="Q496" s="8">
        <f ca="1">IFERROR(__xludf.DUMMYFUNCTION("""COMPUTED_VALUE"""),9)</f>
        <v>9</v>
      </c>
      <c r="R496" s="8">
        <f ca="1">IFERROR(__xludf.DUMMYFUNCTION("""COMPUTED_VALUE"""),738)</f>
        <v>738</v>
      </c>
      <c r="S496" s="8">
        <f ca="1">IFERROR(__xludf.DUMMYFUNCTION("""COMPUTED_VALUE"""),14.4)</f>
        <v>14.4</v>
      </c>
      <c r="T496" s="8">
        <f ca="1">IFERROR(__xludf.DUMMYFUNCTION("""COMPUTED_VALUE"""),752.4)</f>
        <v>752.4</v>
      </c>
      <c r="U496" s="8"/>
      <c r="V496" s="8"/>
      <c r="W496" s="8"/>
      <c r="X496" s="8"/>
      <c r="Y496" s="8"/>
      <c r="Z496" s="37" t="str">
        <f ca="1">IFERROR(__xludf.DUMMYFUNCTION("""COMPUTED_VALUE"""),"W94001")</f>
        <v>W94001</v>
      </c>
      <c r="AA496" s="37" t="str">
        <f ca="1">IFERROR(__xludf.DUMMYFUNCTION("""COMPUTED_VALUE"""),"27/10/2024")</f>
        <v>27/10/2024</v>
      </c>
      <c r="AB496" s="64">
        <f ca="1">IFERROR(__xludf.DUMMYFUNCTION("""COMPUTED_VALUE"""),0.972222222222222)</f>
        <v>0.97222222222222199</v>
      </c>
    </row>
    <row r="497" spans="1:28" ht="14.55" customHeight="1" x14ac:dyDescent="0.3">
      <c r="A497" s="8">
        <v>17</v>
      </c>
      <c r="B497" s="8"/>
      <c r="C497" s="8"/>
      <c r="D497" s="8" t="str">
        <f ca="1">IFERROR(__xludf.DUMMYFUNCTION("""COMPUTED_VALUE"""),"20/07/2024")</f>
        <v>20/07/2024</v>
      </c>
      <c r="E497" s="16" t="str">
        <f ca="1">IFERROR(__xludf.DUMMYFUNCTION("""COMPUTED_VALUE"""),"Player")</f>
        <v>Player</v>
      </c>
      <c r="F497" s="8" t="str">
        <f ca="1">IFERROR(__xludf.DUMMYFUNCTION("""COMPUTED_VALUE"""),"O Sullivan, James")</f>
        <v>O Sullivan, James</v>
      </c>
      <c r="G497" s="16" t="str">
        <f ca="1">IFERROR(__xludf.DUMMYFUNCTION("""COMPUTED_VALUE"""),"IRL")</f>
        <v>IRL</v>
      </c>
      <c r="H497" s="8"/>
      <c r="I497" s="8">
        <f ca="1">IFERROR(__xludf.DUMMYFUNCTION("""COMPUTED_VALUE"""),100)</f>
        <v>100</v>
      </c>
      <c r="J497" s="8"/>
      <c r="K497" s="8"/>
      <c r="L497" s="8" t="str">
        <f ca="1">IFERROR(__xludf.DUMMYFUNCTION("""COMPUTED_VALUE"""),"Ennis Chess Club")</f>
        <v>Ennis Chess Club</v>
      </c>
      <c r="M497" s="16" t="str">
        <f ca="1">IFERROR(__xludf.DUMMYFUNCTION("""COMPUTED_VALUE"""),"IRL")</f>
        <v>IRL</v>
      </c>
      <c r="N497" s="16" t="str">
        <f ca="1">IFERROR(__xludf.DUMMYFUNCTION("""COMPUTED_VALUE"""),"Zepter")</f>
        <v>Zepter</v>
      </c>
      <c r="O497" s="8" t="str">
        <f ca="1">IFERROR(__xludf.DUMMYFUNCTION("""COMPUTED_VALUE"""),"John Cassidy")</f>
        <v>John Cassidy</v>
      </c>
      <c r="P497" s="8">
        <f ca="1">IFERROR(__xludf.DUMMYFUNCTION("""COMPUTED_VALUE"""),82)</f>
        <v>82</v>
      </c>
      <c r="Q497" s="8">
        <f ca="1">IFERROR(__xludf.DUMMYFUNCTION("""COMPUTED_VALUE"""),9)</f>
        <v>9</v>
      </c>
      <c r="R497" s="8">
        <f ca="1">IFERROR(__xludf.DUMMYFUNCTION("""COMPUTED_VALUE"""),738)</f>
        <v>738</v>
      </c>
      <c r="S497" s="8">
        <f ca="1">IFERROR(__xludf.DUMMYFUNCTION("""COMPUTED_VALUE"""),14.4)</f>
        <v>14.4</v>
      </c>
      <c r="T497" s="8">
        <f ca="1">IFERROR(__xludf.DUMMYFUNCTION("""COMPUTED_VALUE"""),752.4)</f>
        <v>752.4</v>
      </c>
      <c r="U497" s="8"/>
      <c r="V497" s="8"/>
      <c r="W497" s="8"/>
      <c r="X497" s="8"/>
      <c r="Y497" s="8"/>
      <c r="Z497" s="37" t="str">
        <f ca="1">IFERROR(__xludf.DUMMYFUNCTION("""COMPUTED_VALUE"""),"W94001")</f>
        <v>W94001</v>
      </c>
      <c r="AA497" s="37" t="str">
        <f ca="1">IFERROR(__xludf.DUMMYFUNCTION("""COMPUTED_VALUE"""),"27/10/2024")</f>
        <v>27/10/2024</v>
      </c>
      <c r="AB497" s="64">
        <f ca="1">IFERROR(__xludf.DUMMYFUNCTION("""COMPUTED_VALUE"""),0.972222222222222)</f>
        <v>0.97222222222222199</v>
      </c>
    </row>
    <row r="498" spans="1:28" ht="14.55" customHeight="1" x14ac:dyDescent="0.3">
      <c r="A498" s="8">
        <v>18</v>
      </c>
      <c r="B498" s="8"/>
      <c r="C498" s="8"/>
      <c r="D498" s="13">
        <f ca="1">IFERROR(__xludf.DUMMYFUNCTION("""COMPUTED_VALUE"""),45634)</f>
        <v>45634</v>
      </c>
      <c r="E498" s="16" t="str">
        <f ca="1">IFERROR(__xludf.DUMMYFUNCTION("""COMPUTED_VALUE"""),"Player")</f>
        <v>Player</v>
      </c>
      <c r="F498" s="8" t="str">
        <f ca="1">IFERROR(__xludf.DUMMYFUNCTION("""COMPUTED_VALUE"""),"Runarsson, Gunnar")</f>
        <v>Runarsson, Gunnar</v>
      </c>
      <c r="G498" s="16" t="str">
        <f ca="1">IFERROR(__xludf.DUMMYFUNCTION("""COMPUTED_VALUE"""),"ISL")</f>
        <v>ISL</v>
      </c>
      <c r="H498" s="8"/>
      <c r="I498" s="8">
        <f ca="1">IFERROR(__xludf.DUMMYFUNCTION("""COMPUTED_VALUE"""),100)</f>
        <v>100</v>
      </c>
      <c r="J498" s="8"/>
      <c r="K498" s="8"/>
      <c r="L498" s="8" t="str">
        <f ca="1">IFERROR(__xludf.DUMMYFUNCTION("""COMPUTED_VALUE"""),"Viking Club")</f>
        <v>Viking Club</v>
      </c>
      <c r="M498" s="16" t="str">
        <f ca="1">IFERROR(__xludf.DUMMYFUNCTION("""COMPUTED_VALUE"""),"ISL")</f>
        <v>ISL</v>
      </c>
      <c r="N498" s="16" t="str">
        <f ca="1">IFERROR(__xludf.DUMMYFUNCTION("""COMPUTED_VALUE"""),"Fontana")</f>
        <v>Fontana</v>
      </c>
      <c r="O498" s="8"/>
      <c r="P498" s="8">
        <f ca="1">IFERROR(__xludf.DUMMYFUNCTION("""COMPUTED_VALUE"""),104)</f>
        <v>104</v>
      </c>
      <c r="Q498" s="8">
        <f ca="1">IFERROR(__xludf.DUMMYFUNCTION("""COMPUTED_VALUE"""),8)</f>
        <v>8</v>
      </c>
      <c r="R498" s="8">
        <f ca="1">IFERROR(__xludf.DUMMYFUNCTION("""COMPUTED_VALUE"""),832)</f>
        <v>832</v>
      </c>
      <c r="S498" s="8">
        <f ca="1">IFERROR(__xludf.DUMMYFUNCTION("""COMPUTED_VALUE"""),12.8)</f>
        <v>12.8</v>
      </c>
      <c r="T498" s="8">
        <f ca="1">IFERROR(__xludf.DUMMYFUNCTION("""COMPUTED_VALUE"""),844.8)</f>
        <v>844.8</v>
      </c>
      <c r="U498" s="8"/>
      <c r="V498" s="8"/>
      <c r="W498" s="8"/>
      <c r="X498" s="8"/>
      <c r="Y498" s="8"/>
      <c r="Z498" s="57" t="str">
        <f ca="1">IFERROR(__xludf.DUMMYFUNCTION("""COMPUTED_VALUE"""),"W94001")</f>
        <v>W94001</v>
      </c>
      <c r="AA498" s="37" t="str">
        <f ca="1">IFERROR(__xludf.DUMMYFUNCTION("""COMPUTED_VALUE"""),"27/10/2024")</f>
        <v>27/10/2024</v>
      </c>
      <c r="AB498" s="64">
        <f ca="1">IFERROR(__xludf.DUMMYFUNCTION("""COMPUTED_VALUE"""),0.972222222222222)</f>
        <v>0.97222222222222199</v>
      </c>
    </row>
    <row r="499" spans="1:28" ht="14.55" customHeight="1" x14ac:dyDescent="0.3">
      <c r="A499" s="8">
        <v>19</v>
      </c>
      <c r="B499" s="8"/>
      <c r="C499" s="8"/>
      <c r="D499" s="8" t="str">
        <f ca="1">IFERROR(__xludf.DUMMYFUNCTION("""COMPUTED_VALUE"""),"30/07/2024")</f>
        <v>30/07/2024</v>
      </c>
      <c r="E499" s="16" t="str">
        <f ca="1">IFERROR(__xludf.DUMMYFUNCTION("""COMPUTED_VALUE"""),"Player")</f>
        <v>Player</v>
      </c>
      <c r="F499" s="8" t="str">
        <f ca="1">IFERROR(__xludf.DUMMYFUNCTION("""COMPUTED_VALUE"""),"Pleasants, Allan J")</f>
        <v>Pleasants, Allan J</v>
      </c>
      <c r="G499" s="16" t="str">
        <f ca="1">IFERROR(__xludf.DUMMYFUNCTION("""COMPUTED_VALUE"""),"WLS")</f>
        <v>WLS</v>
      </c>
      <c r="H499" s="8"/>
      <c r="I499" s="8">
        <f ca="1">IFERROR(__xludf.DUMMYFUNCTION("""COMPUTED_VALUE"""),100)</f>
        <v>100</v>
      </c>
      <c r="J499" s="8"/>
      <c r="K499" s="8"/>
      <c r="L499" s="8" t="str">
        <f ca="1">IFERROR(__xludf.DUMMYFUNCTION("""COMPUTED_VALUE"""),"White Knights Chess Club")</f>
        <v>White Knights Chess Club</v>
      </c>
      <c r="M499" s="16" t="str">
        <f ca="1">IFERROR(__xludf.DUMMYFUNCTION("""COMPUTED_VALUE"""),"WLS")</f>
        <v>WLS</v>
      </c>
      <c r="N499" s="16" t="str">
        <f ca="1">IFERROR(__xludf.DUMMYFUNCTION("""COMPUTED_VALUE"""),"Fontana")</f>
        <v>Fontana</v>
      </c>
      <c r="O499" s="8"/>
      <c r="P499" s="8">
        <f ca="1">IFERROR(__xludf.DUMMYFUNCTION("""COMPUTED_VALUE"""),104)</f>
        <v>104</v>
      </c>
      <c r="Q499" s="8">
        <f ca="1">IFERROR(__xludf.DUMMYFUNCTION("""COMPUTED_VALUE"""),9)</f>
        <v>9</v>
      </c>
      <c r="R499" s="8">
        <f ca="1">IFERROR(__xludf.DUMMYFUNCTION("""COMPUTED_VALUE"""),936)</f>
        <v>936</v>
      </c>
      <c r="S499" s="8">
        <f ca="1">IFERROR(__xludf.DUMMYFUNCTION("""COMPUTED_VALUE"""),14.4)</f>
        <v>14.4</v>
      </c>
      <c r="T499" s="8">
        <f ca="1">IFERROR(__xludf.DUMMYFUNCTION("""COMPUTED_VALUE"""),950.4)</f>
        <v>950.4</v>
      </c>
      <c r="U499" s="8"/>
      <c r="V499" s="8"/>
      <c r="W499" s="8" t="str">
        <f ca="1">IFERROR(__xludf.DUMMYFUNCTION("""COMPUTED_VALUE"""),"YES")</f>
        <v>YES</v>
      </c>
      <c r="X499" s="8"/>
      <c r="Y499" s="8"/>
      <c r="Z499" s="37" t="str">
        <f ca="1">IFERROR(__xludf.DUMMYFUNCTION("""COMPUTED_VALUE"""),"W9 4001")</f>
        <v>W9 4001</v>
      </c>
      <c r="AA499" s="37" t="str">
        <f ca="1">IFERROR(__xludf.DUMMYFUNCTION("""COMPUTED_VALUE"""),"27/10/2024")</f>
        <v>27/10/2024</v>
      </c>
      <c r="AB499" s="64">
        <f ca="1">IFERROR(__xludf.DUMMYFUNCTION("""COMPUTED_VALUE"""),0.972222222222222)</f>
        <v>0.97222222222222199</v>
      </c>
    </row>
    <row r="500" spans="1:28" ht="14.55" customHeight="1" x14ac:dyDescent="0.3">
      <c r="A500" s="8">
        <v>20</v>
      </c>
      <c r="B500" s="8"/>
      <c r="C500" s="8"/>
      <c r="D500" s="8" t="str">
        <f ca="1">IFERROR(__xludf.DUMMYFUNCTION("""COMPUTED_VALUE"""),"30/07/2024")</f>
        <v>30/07/2024</v>
      </c>
      <c r="E500" s="16" t="str">
        <f ca="1">IFERROR(__xludf.DUMMYFUNCTION("""COMPUTED_VALUE"""),"Player")</f>
        <v>Player</v>
      </c>
      <c r="F500" s="8" t="str">
        <f ca="1">IFERROR(__xludf.DUMMYFUNCTION("""COMPUTED_VALUE"""),"Young, Alan")</f>
        <v>Young, Alan</v>
      </c>
      <c r="G500" s="16" t="str">
        <f ca="1">IFERROR(__xludf.DUMMYFUNCTION("""COMPUTED_VALUE"""),"WLS")</f>
        <v>WLS</v>
      </c>
      <c r="H500" s="8"/>
      <c r="I500" s="8">
        <f ca="1">IFERROR(__xludf.DUMMYFUNCTION("""COMPUTED_VALUE"""),100)</f>
        <v>100</v>
      </c>
      <c r="J500" s="8"/>
      <c r="K500" s="8"/>
      <c r="L500" s="8" t="str">
        <f ca="1">IFERROR(__xludf.DUMMYFUNCTION("""COMPUTED_VALUE"""),"White Knights Chess Club")</f>
        <v>White Knights Chess Club</v>
      </c>
      <c r="M500" s="16" t="str">
        <f ca="1">IFERROR(__xludf.DUMMYFUNCTION("""COMPUTED_VALUE"""),"WLS")</f>
        <v>WLS</v>
      </c>
      <c r="N500" s="16" t="str">
        <f ca="1">IFERROR(__xludf.DUMMYFUNCTION("""COMPUTED_VALUE"""),"Fontana")</f>
        <v>Fontana</v>
      </c>
      <c r="O500" s="8" t="str">
        <f ca="1">IFERROR(__xludf.DUMMYFUNCTION("""COMPUTED_VALUE"""),"Jason Garcia")</f>
        <v>Jason Garcia</v>
      </c>
      <c r="P500" s="8">
        <f ca="1">IFERROR(__xludf.DUMMYFUNCTION("""COMPUTED_VALUE"""),84)</f>
        <v>84</v>
      </c>
      <c r="Q500" s="8">
        <f ca="1">IFERROR(__xludf.DUMMYFUNCTION("""COMPUTED_VALUE"""),9)</f>
        <v>9</v>
      </c>
      <c r="R500" s="8">
        <f ca="1">IFERROR(__xludf.DUMMYFUNCTION("""COMPUTED_VALUE"""),756)</f>
        <v>756</v>
      </c>
      <c r="S500" s="8">
        <f ca="1">IFERROR(__xludf.DUMMYFUNCTION("""COMPUTED_VALUE"""),14.4)</f>
        <v>14.4</v>
      </c>
      <c r="T500" s="8">
        <f ca="1">IFERROR(__xludf.DUMMYFUNCTION("""COMPUTED_VALUE"""),770.4)</f>
        <v>770.4</v>
      </c>
      <c r="U500" s="8"/>
      <c r="V500" s="8"/>
      <c r="W500" s="8" t="str">
        <f ca="1">IFERROR(__xludf.DUMMYFUNCTION("""COMPUTED_VALUE"""),"YES")</f>
        <v>YES</v>
      </c>
      <c r="X500" s="8"/>
      <c r="Y500" s="8"/>
      <c r="Z500" s="37" t="str">
        <f ca="1">IFERROR(__xludf.DUMMYFUNCTION("""COMPUTED_VALUE"""),"W9 4001")</f>
        <v>W9 4001</v>
      </c>
      <c r="AA500" s="37" t="str">
        <f ca="1">IFERROR(__xludf.DUMMYFUNCTION("""COMPUTED_VALUE"""),"27/10/2024")</f>
        <v>27/10/2024</v>
      </c>
      <c r="AB500" s="64">
        <f ca="1">IFERROR(__xludf.DUMMYFUNCTION("""COMPUTED_VALUE"""),0.972222222222222)</f>
        <v>0.97222222222222199</v>
      </c>
    </row>
    <row r="501" spans="1:28" ht="14.55" customHeight="1" x14ac:dyDescent="0.3">
      <c r="A501" s="8">
        <v>21</v>
      </c>
      <c r="B501" s="8"/>
      <c r="C501" s="8"/>
      <c r="D501" s="8" t="str">
        <f ca="1">IFERROR(__xludf.DUMMYFUNCTION("""COMPUTED_VALUE"""),"30/07/2024")</f>
        <v>30/07/2024</v>
      </c>
      <c r="E501" s="16" t="str">
        <f ca="1">IFERROR(__xludf.DUMMYFUNCTION("""COMPUTED_VALUE"""),"Player")</f>
        <v>Player</v>
      </c>
      <c r="F501" s="8" t="str">
        <f ca="1">IFERROR(__xludf.DUMMYFUNCTION("""COMPUTED_VALUE"""),"Davis, Lee")</f>
        <v>Davis, Lee</v>
      </c>
      <c r="G501" s="16" t="str">
        <f ca="1">IFERROR(__xludf.DUMMYFUNCTION("""COMPUTED_VALUE"""),"WLS")</f>
        <v>WLS</v>
      </c>
      <c r="H501" s="8"/>
      <c r="I501" s="8">
        <f ca="1">IFERROR(__xludf.DUMMYFUNCTION("""COMPUTED_VALUE"""),100)</f>
        <v>100</v>
      </c>
      <c r="J501" s="8"/>
      <c r="K501" s="8"/>
      <c r="L501" s="8" t="str">
        <f ca="1">IFERROR(__xludf.DUMMYFUNCTION("""COMPUTED_VALUE"""),"White Knights Chess Club")</f>
        <v>White Knights Chess Club</v>
      </c>
      <c r="M501" s="16" t="str">
        <f ca="1">IFERROR(__xludf.DUMMYFUNCTION("""COMPUTED_VALUE"""),"WLS")</f>
        <v>WLS</v>
      </c>
      <c r="N501" s="16" t="str">
        <f ca="1">IFERROR(__xludf.DUMMYFUNCTION("""COMPUTED_VALUE"""),"Fontana")</f>
        <v>Fontana</v>
      </c>
      <c r="O501" s="8"/>
      <c r="P501" s="8">
        <f ca="1">IFERROR(__xludf.DUMMYFUNCTION("""COMPUTED_VALUE"""),104)</f>
        <v>104</v>
      </c>
      <c r="Q501" s="8">
        <f ca="1">IFERROR(__xludf.DUMMYFUNCTION("""COMPUTED_VALUE"""),9)</f>
        <v>9</v>
      </c>
      <c r="R501" s="8">
        <f ca="1">IFERROR(__xludf.DUMMYFUNCTION("""COMPUTED_VALUE"""),936)</f>
        <v>936</v>
      </c>
      <c r="S501" s="8">
        <f ca="1">IFERROR(__xludf.DUMMYFUNCTION("""COMPUTED_VALUE"""),14.4)</f>
        <v>14.4</v>
      </c>
      <c r="T501" s="8">
        <f ca="1">IFERROR(__xludf.DUMMYFUNCTION("""COMPUTED_VALUE"""),950.4)</f>
        <v>950.4</v>
      </c>
      <c r="U501" s="8"/>
      <c r="V501" s="8"/>
      <c r="W501" s="8" t="str">
        <f ca="1">IFERROR(__xludf.DUMMYFUNCTION("""COMPUTED_VALUE"""),"YES")</f>
        <v>YES</v>
      </c>
      <c r="X501" s="8"/>
      <c r="Y501" s="8"/>
      <c r="Z501" s="37" t="str">
        <f ca="1">IFERROR(__xludf.DUMMYFUNCTION("""COMPUTED_VALUE"""),"W9 4001")</f>
        <v>W9 4001</v>
      </c>
      <c r="AA501" s="37" t="str">
        <f ca="1">IFERROR(__xludf.DUMMYFUNCTION("""COMPUTED_VALUE"""),"27/10/2024")</f>
        <v>27/10/2024</v>
      </c>
      <c r="AB501" s="64">
        <f ca="1">IFERROR(__xludf.DUMMYFUNCTION("""COMPUTED_VALUE"""),0.972222222222222)</f>
        <v>0.97222222222222199</v>
      </c>
    </row>
    <row r="502" spans="1:28" ht="14.55" customHeight="1" x14ac:dyDescent="0.3">
      <c r="A502" s="8">
        <v>22</v>
      </c>
      <c r="B502" s="8"/>
      <c r="C502" s="8"/>
      <c r="D502" s="8" t="str">
        <f ca="1">IFERROR(__xludf.DUMMYFUNCTION("""COMPUTED_VALUE"""),"30/07/2024")</f>
        <v>30/07/2024</v>
      </c>
      <c r="E502" s="16" t="str">
        <f ca="1">IFERROR(__xludf.DUMMYFUNCTION("""COMPUTED_VALUE"""),"Player")</f>
        <v>Player</v>
      </c>
      <c r="F502" s="8" t="str">
        <f ca="1">IFERROR(__xludf.DUMMYFUNCTION("""COMPUTED_VALUE"""),"Weatherlake, John P")</f>
        <v>Weatherlake, John P</v>
      </c>
      <c r="G502" s="16" t="str">
        <f ca="1">IFERROR(__xludf.DUMMYFUNCTION("""COMPUTED_VALUE"""),"WLS")</f>
        <v>WLS</v>
      </c>
      <c r="H502" s="8"/>
      <c r="I502" s="8">
        <f ca="1">IFERROR(__xludf.DUMMYFUNCTION("""COMPUTED_VALUE"""),100)</f>
        <v>100</v>
      </c>
      <c r="J502" s="8"/>
      <c r="K502" s="8"/>
      <c r="L502" s="8" t="str">
        <f ca="1">IFERROR(__xludf.DUMMYFUNCTION("""COMPUTED_VALUE"""),"White Knights Chess Club")</f>
        <v>White Knights Chess Club</v>
      </c>
      <c r="M502" s="16" t="str">
        <f ca="1">IFERROR(__xludf.DUMMYFUNCTION("""COMPUTED_VALUE"""),"WLS")</f>
        <v>WLS</v>
      </c>
      <c r="N502" s="16" t="str">
        <f ca="1">IFERROR(__xludf.DUMMYFUNCTION("""COMPUTED_VALUE"""),"Fontana")</f>
        <v>Fontana</v>
      </c>
      <c r="O502" s="8" t="str">
        <f ca="1">IFERROR(__xludf.DUMMYFUNCTION("""COMPUTED_VALUE"""),"Adam May")</f>
        <v>Adam May</v>
      </c>
      <c r="P502" s="8">
        <f ca="1">IFERROR(__xludf.DUMMYFUNCTION("""COMPUTED_VALUE"""),84)</f>
        <v>84</v>
      </c>
      <c r="Q502" s="8">
        <f ca="1">IFERROR(__xludf.DUMMYFUNCTION("""COMPUTED_VALUE"""),9)</f>
        <v>9</v>
      </c>
      <c r="R502" s="8">
        <f ca="1">IFERROR(__xludf.DUMMYFUNCTION("""COMPUTED_VALUE"""),756)</f>
        <v>756</v>
      </c>
      <c r="S502" s="8">
        <f ca="1">IFERROR(__xludf.DUMMYFUNCTION("""COMPUTED_VALUE"""),14.4)</f>
        <v>14.4</v>
      </c>
      <c r="T502" s="8">
        <f ca="1">IFERROR(__xludf.DUMMYFUNCTION("""COMPUTED_VALUE"""),770.4)</f>
        <v>770.4</v>
      </c>
      <c r="U502" s="8"/>
      <c r="V502" s="8"/>
      <c r="W502" s="8" t="str">
        <f ca="1">IFERROR(__xludf.DUMMYFUNCTION("""COMPUTED_VALUE"""),"YES")</f>
        <v>YES</v>
      </c>
      <c r="X502" s="8"/>
      <c r="Y502" s="8"/>
      <c r="Z502" s="37" t="str">
        <f ca="1">IFERROR(__xludf.DUMMYFUNCTION("""COMPUTED_VALUE"""),"W9 4001")</f>
        <v>W9 4001</v>
      </c>
      <c r="AA502" s="37" t="str">
        <f ca="1">IFERROR(__xludf.DUMMYFUNCTION("""COMPUTED_VALUE"""),"27/10/2024")</f>
        <v>27/10/2024</v>
      </c>
      <c r="AB502" s="64">
        <f ca="1">IFERROR(__xludf.DUMMYFUNCTION("""COMPUTED_VALUE"""),0.972222222222222)</f>
        <v>0.97222222222222199</v>
      </c>
    </row>
    <row r="503" spans="1:28" ht="14.55" customHeight="1" x14ac:dyDescent="0.3">
      <c r="A503" s="8">
        <v>23</v>
      </c>
      <c r="B503" s="8"/>
      <c r="C503" s="8"/>
      <c r="D503" s="8" t="str">
        <f ca="1">IFERROR(__xludf.DUMMYFUNCTION("""COMPUTED_VALUE"""),"30/07/2024")</f>
        <v>30/07/2024</v>
      </c>
      <c r="E503" s="16" t="str">
        <f ca="1">IFERROR(__xludf.DUMMYFUNCTION("""COMPUTED_VALUE"""),"Player")</f>
        <v>Player</v>
      </c>
      <c r="F503" s="8" t="str">
        <f ca="1">IFERROR(__xludf.DUMMYFUNCTION("""COMPUTED_VALUE"""),"May, Adam J")</f>
        <v>May, Adam J</v>
      </c>
      <c r="G503" s="16" t="str">
        <f ca="1">IFERROR(__xludf.DUMMYFUNCTION("""COMPUTED_VALUE"""),"WLS")</f>
        <v>WLS</v>
      </c>
      <c r="H503" s="8"/>
      <c r="I503" s="8">
        <f ca="1">IFERROR(__xludf.DUMMYFUNCTION("""COMPUTED_VALUE"""),100)</f>
        <v>100</v>
      </c>
      <c r="J503" s="8"/>
      <c r="K503" s="8"/>
      <c r="L503" s="8" t="str">
        <f ca="1">IFERROR(__xludf.DUMMYFUNCTION("""COMPUTED_VALUE"""),"White Knights Chess Club")</f>
        <v>White Knights Chess Club</v>
      </c>
      <c r="M503" s="16" t="str">
        <f ca="1">IFERROR(__xludf.DUMMYFUNCTION("""COMPUTED_VALUE"""),"WLS")</f>
        <v>WLS</v>
      </c>
      <c r="N503" s="16" t="str">
        <f ca="1">IFERROR(__xludf.DUMMYFUNCTION("""COMPUTED_VALUE"""),"Fontana")</f>
        <v>Fontana</v>
      </c>
      <c r="O503" s="8" t="str">
        <f ca="1">IFERROR(__xludf.DUMMYFUNCTION("""COMPUTED_VALUE"""),"John Weatherlake")</f>
        <v>John Weatherlake</v>
      </c>
      <c r="P503" s="8">
        <f ca="1">IFERROR(__xludf.DUMMYFUNCTION("""COMPUTED_VALUE"""),84)</f>
        <v>84</v>
      </c>
      <c r="Q503" s="8">
        <f ca="1">IFERROR(__xludf.DUMMYFUNCTION("""COMPUTED_VALUE"""),9)</f>
        <v>9</v>
      </c>
      <c r="R503" s="8">
        <f ca="1">IFERROR(__xludf.DUMMYFUNCTION("""COMPUTED_VALUE"""),756)</f>
        <v>756</v>
      </c>
      <c r="S503" s="8">
        <f ca="1">IFERROR(__xludf.DUMMYFUNCTION("""COMPUTED_VALUE"""),14.4)</f>
        <v>14.4</v>
      </c>
      <c r="T503" s="8">
        <f ca="1">IFERROR(__xludf.DUMMYFUNCTION("""COMPUTED_VALUE"""),770.4)</f>
        <v>770.4</v>
      </c>
      <c r="U503" s="8"/>
      <c r="V503" s="8"/>
      <c r="W503" s="8" t="str">
        <f ca="1">IFERROR(__xludf.DUMMYFUNCTION("""COMPUTED_VALUE"""),"YES")</f>
        <v>YES</v>
      </c>
      <c r="X503" s="8"/>
      <c r="Y503" s="8"/>
      <c r="Z503" s="37" t="str">
        <f ca="1">IFERROR(__xludf.DUMMYFUNCTION("""COMPUTED_VALUE"""),"W9 4001")</f>
        <v>W9 4001</v>
      </c>
      <c r="AA503" s="37" t="str">
        <f ca="1">IFERROR(__xludf.DUMMYFUNCTION("""COMPUTED_VALUE"""),"27/10/2024")</f>
        <v>27/10/2024</v>
      </c>
      <c r="AB503" s="64">
        <f ca="1">IFERROR(__xludf.DUMMYFUNCTION("""COMPUTED_VALUE"""),0.972222222222222)</f>
        <v>0.97222222222222199</v>
      </c>
    </row>
    <row r="504" spans="1:28" ht="14.55" customHeight="1" x14ac:dyDescent="0.3">
      <c r="A504" s="8">
        <v>24</v>
      </c>
      <c r="B504" s="8"/>
      <c r="C504" s="8"/>
      <c r="D504" s="8" t="str">
        <f ca="1">IFERROR(__xludf.DUMMYFUNCTION("""COMPUTED_VALUE"""),"30/07/2024")</f>
        <v>30/07/2024</v>
      </c>
      <c r="E504" s="16" t="str">
        <f ca="1">IFERROR(__xludf.DUMMYFUNCTION("""COMPUTED_VALUE"""),"Player")</f>
        <v>Player</v>
      </c>
      <c r="F504" s="8" t="str">
        <f ca="1">IFERROR(__xludf.DUMMYFUNCTION("""COMPUTED_VALUE"""),"Garcia, Jason")</f>
        <v>Garcia, Jason</v>
      </c>
      <c r="G504" s="16" t="str">
        <f ca="1">IFERROR(__xludf.DUMMYFUNCTION("""COMPUTED_VALUE"""),"WLS")</f>
        <v>WLS</v>
      </c>
      <c r="H504" s="8"/>
      <c r="I504" s="8">
        <f ca="1">IFERROR(__xludf.DUMMYFUNCTION("""COMPUTED_VALUE"""),100)</f>
        <v>100</v>
      </c>
      <c r="J504" s="8"/>
      <c r="K504" s="8"/>
      <c r="L504" s="8" t="str">
        <f ca="1">IFERROR(__xludf.DUMMYFUNCTION("""COMPUTED_VALUE"""),"White Knights Chess Club")</f>
        <v>White Knights Chess Club</v>
      </c>
      <c r="M504" s="16" t="str">
        <f ca="1">IFERROR(__xludf.DUMMYFUNCTION("""COMPUTED_VALUE"""),"WLS")</f>
        <v>WLS</v>
      </c>
      <c r="N504" s="16" t="str">
        <f ca="1">IFERROR(__xludf.DUMMYFUNCTION("""COMPUTED_VALUE"""),"Fontana")</f>
        <v>Fontana</v>
      </c>
      <c r="O504" s="8" t="str">
        <f ca="1">IFERROR(__xludf.DUMMYFUNCTION("""COMPUTED_VALUE"""),"Alan Young")</f>
        <v>Alan Young</v>
      </c>
      <c r="P504" s="8">
        <f ca="1">IFERROR(__xludf.DUMMYFUNCTION("""COMPUTED_VALUE"""),84)</f>
        <v>84</v>
      </c>
      <c r="Q504" s="8">
        <f ca="1">IFERROR(__xludf.DUMMYFUNCTION("""COMPUTED_VALUE"""),9)</f>
        <v>9</v>
      </c>
      <c r="R504" s="8">
        <f ca="1">IFERROR(__xludf.DUMMYFUNCTION("""COMPUTED_VALUE"""),756)</f>
        <v>756</v>
      </c>
      <c r="S504" s="8">
        <f ca="1">IFERROR(__xludf.DUMMYFUNCTION("""COMPUTED_VALUE"""),14.4)</f>
        <v>14.4</v>
      </c>
      <c r="T504" s="8">
        <f ca="1">IFERROR(__xludf.DUMMYFUNCTION("""COMPUTED_VALUE"""),770.4)</f>
        <v>770.4</v>
      </c>
      <c r="U504" s="8"/>
      <c r="V504" s="8"/>
      <c r="W504" s="8" t="str">
        <f ca="1">IFERROR(__xludf.DUMMYFUNCTION("""COMPUTED_VALUE"""),"YES")</f>
        <v>YES</v>
      </c>
      <c r="X504" s="8"/>
      <c r="Y504" s="8"/>
      <c r="Z504" s="37" t="str">
        <f ca="1">IFERROR(__xludf.DUMMYFUNCTION("""COMPUTED_VALUE"""),"W9 4001")</f>
        <v>W9 4001</v>
      </c>
      <c r="AA504" s="37" t="str">
        <f ca="1">IFERROR(__xludf.DUMMYFUNCTION("""COMPUTED_VALUE"""),"27/10/2024")</f>
        <v>27/10/2024</v>
      </c>
      <c r="AB504" s="64">
        <f ca="1">IFERROR(__xludf.DUMMYFUNCTION("""COMPUTED_VALUE"""),0.972222222222222)</f>
        <v>0.97222222222222199</v>
      </c>
    </row>
    <row r="505" spans="1:28" ht="14.55" customHeight="1" x14ac:dyDescent="0.3">
      <c r="A505" s="8">
        <v>25</v>
      </c>
      <c r="B505" s="8"/>
      <c r="C505" s="8"/>
      <c r="D505" s="8" t="str">
        <f ca="1">IFERROR(__xludf.DUMMYFUNCTION("""COMPUTED_VALUE"""),"15/08/2024")</f>
        <v>15/08/2024</v>
      </c>
      <c r="E505" s="16" t="str">
        <f ca="1">IFERROR(__xludf.DUMMYFUNCTION("""COMPUTED_VALUE"""),"Player")</f>
        <v>Player</v>
      </c>
      <c r="F505" s="8" t="str">
        <f ca="1">IFERROR(__xludf.DUMMYFUNCTION("""COMPUTED_VALUE"""),"Woozeer, Seth")</f>
        <v>Woozeer, Seth</v>
      </c>
      <c r="G505" s="16" t="str">
        <f ca="1">IFERROR(__xludf.DUMMYFUNCTION("""COMPUTED_VALUE"""),"ENG")</f>
        <v>ENG</v>
      </c>
      <c r="H505" s="8"/>
      <c r="I505" s="8">
        <f ca="1">IFERROR(__xludf.DUMMYFUNCTION("""COMPUTED_VALUE"""),100)</f>
        <v>100</v>
      </c>
      <c r="J505" s="8"/>
      <c r="K505" s="8"/>
      <c r="L505" s="8" t="str">
        <f ca="1">IFERROR(__xludf.DUMMYFUNCTION("""COMPUTED_VALUE"""),"White Rose")</f>
        <v>White Rose</v>
      </c>
      <c r="M505" s="16" t="str">
        <f ca="1">IFERROR(__xludf.DUMMYFUNCTION("""COMPUTED_VALUE"""),"ENG")</f>
        <v>ENG</v>
      </c>
      <c r="N505" s="16" t="str">
        <f ca="1">IFERROR(__xludf.DUMMYFUNCTION("""COMPUTED_VALUE"""),"Fontana")</f>
        <v>Fontana</v>
      </c>
      <c r="O505" s="8" t="str">
        <f ca="1">IFERROR(__xludf.DUMMYFUNCTION("""COMPUTED_VALUE"""),"Tabitha Woozeer")</f>
        <v>Tabitha Woozeer</v>
      </c>
      <c r="P505" s="8">
        <f ca="1">IFERROR(__xludf.DUMMYFUNCTION("""COMPUTED_VALUE"""),84)</f>
        <v>84</v>
      </c>
      <c r="Q505" s="8">
        <f ca="1">IFERROR(__xludf.DUMMYFUNCTION("""COMPUTED_VALUE"""),8)</f>
        <v>8</v>
      </c>
      <c r="R505" s="8">
        <f ca="1">IFERROR(__xludf.DUMMYFUNCTION("""COMPUTED_VALUE"""),672)</f>
        <v>672</v>
      </c>
      <c r="S505" s="8">
        <f ca="1">IFERROR(__xludf.DUMMYFUNCTION("""COMPUTED_VALUE"""),12.8)</f>
        <v>12.8</v>
      </c>
      <c r="T505" s="8">
        <f ca="1">IFERROR(__xludf.DUMMYFUNCTION("""COMPUTED_VALUE"""),684.8)</f>
        <v>684.8</v>
      </c>
      <c r="U505" s="8"/>
      <c r="V505" s="8"/>
      <c r="W505" s="8"/>
      <c r="X505" s="8"/>
      <c r="Y505" s="8"/>
      <c r="Z505" s="37" t="str">
        <f ca="1">IFERROR(__xludf.DUMMYFUNCTION("""COMPUTED_VALUE"""),"W9 4001")</f>
        <v>W9 4001</v>
      </c>
      <c r="AA505" s="37" t="str">
        <f ca="1">IFERROR(__xludf.DUMMYFUNCTION("""COMPUTED_VALUE"""),"27/10/2024")</f>
        <v>27/10/2024</v>
      </c>
      <c r="AB505" s="64">
        <f ca="1">IFERROR(__xludf.DUMMYFUNCTION("""COMPUTED_VALUE"""),0.972222222222222)</f>
        <v>0.97222222222222199</v>
      </c>
    </row>
    <row r="506" spans="1:28" ht="14.55" customHeight="1" x14ac:dyDescent="0.3">
      <c r="A506" s="8">
        <v>26</v>
      </c>
      <c r="B506" s="8"/>
      <c r="C506" s="8"/>
      <c r="D506" s="8" t="str">
        <f ca="1">IFERROR(__xludf.DUMMYFUNCTION("""COMPUTED_VALUE"""),"15/08/2024")</f>
        <v>15/08/2024</v>
      </c>
      <c r="E506" s="16" t="str">
        <f ca="1">IFERROR(__xludf.DUMMYFUNCTION("""COMPUTED_VALUE"""),"Player")</f>
        <v>Player</v>
      </c>
      <c r="F506" s="8" t="str">
        <f ca="1">IFERROR(__xludf.DUMMYFUNCTION("""COMPUTED_VALUE"""),"Arnott, Jonathan W")</f>
        <v>Arnott, Jonathan W</v>
      </c>
      <c r="G506" s="16" t="str">
        <f ca="1">IFERROR(__xludf.DUMMYFUNCTION("""COMPUTED_VALUE"""),"ENG")</f>
        <v>ENG</v>
      </c>
      <c r="H506" s="8"/>
      <c r="I506" s="8">
        <f ca="1">IFERROR(__xludf.DUMMYFUNCTION("""COMPUTED_VALUE"""),100)</f>
        <v>100</v>
      </c>
      <c r="J506" s="8"/>
      <c r="K506" s="8"/>
      <c r="L506" s="8" t="str">
        <f ca="1">IFERROR(__xludf.DUMMYFUNCTION("""COMPUTED_VALUE"""),"White Rose")</f>
        <v>White Rose</v>
      </c>
      <c r="M506" s="16" t="str">
        <f ca="1">IFERROR(__xludf.DUMMYFUNCTION("""COMPUTED_VALUE"""),"ENG")</f>
        <v>ENG</v>
      </c>
      <c r="N506" s="16" t="str">
        <f ca="1">IFERROR(__xludf.DUMMYFUNCTION("""COMPUTED_VALUE"""),"Fontana")</f>
        <v>Fontana</v>
      </c>
      <c r="O506" s="8"/>
      <c r="P506" s="8">
        <f ca="1">IFERROR(__xludf.DUMMYFUNCTION("""COMPUTED_VALUE"""),104)</f>
        <v>104</v>
      </c>
      <c r="Q506" s="8">
        <f ca="1">IFERROR(__xludf.DUMMYFUNCTION("""COMPUTED_VALUE"""),8)</f>
        <v>8</v>
      </c>
      <c r="R506" s="8">
        <f ca="1">IFERROR(__xludf.DUMMYFUNCTION("""COMPUTED_VALUE"""),832)</f>
        <v>832</v>
      </c>
      <c r="S506" s="8">
        <f ca="1">IFERROR(__xludf.DUMMYFUNCTION("""COMPUTED_VALUE"""),12.8)</f>
        <v>12.8</v>
      </c>
      <c r="T506" s="8">
        <f ca="1">IFERROR(__xludf.DUMMYFUNCTION("""COMPUTED_VALUE"""),844.8)</f>
        <v>844.8</v>
      </c>
      <c r="U506" s="8"/>
      <c r="V506" s="8"/>
      <c r="W506" s="8"/>
      <c r="X506" s="8"/>
      <c r="Y506" s="8"/>
      <c r="Z506" s="37" t="str">
        <f ca="1">IFERROR(__xludf.DUMMYFUNCTION("""COMPUTED_VALUE"""),"W9 4001")</f>
        <v>W9 4001</v>
      </c>
      <c r="AA506" s="37" t="str">
        <f ca="1">IFERROR(__xludf.DUMMYFUNCTION("""COMPUTED_VALUE"""),"27/10/2024")</f>
        <v>27/10/2024</v>
      </c>
      <c r="AB506" s="64">
        <f ca="1">IFERROR(__xludf.DUMMYFUNCTION("""COMPUTED_VALUE"""),0.972222222222222)</f>
        <v>0.97222222222222199</v>
      </c>
    </row>
    <row r="507" spans="1:28" ht="14.55" customHeight="1" x14ac:dyDescent="0.3">
      <c r="A507" s="8">
        <v>27</v>
      </c>
      <c r="B507" s="8"/>
      <c r="C507" s="8"/>
      <c r="D507" s="8" t="str">
        <f ca="1">IFERROR(__xludf.DUMMYFUNCTION("""COMPUTED_VALUE"""),"15/08/2024")</f>
        <v>15/08/2024</v>
      </c>
      <c r="E507" s="16" t="str">
        <f ca="1">IFERROR(__xludf.DUMMYFUNCTION("""COMPUTED_VALUE"""),"Player")</f>
        <v>Player</v>
      </c>
      <c r="F507" s="8" t="str">
        <f ca="1">IFERROR(__xludf.DUMMYFUNCTION("""COMPUTED_VALUE"""),"Jones, Rupert")</f>
        <v>Jones, Rupert</v>
      </c>
      <c r="G507" s="16" t="str">
        <f ca="1">IFERROR(__xludf.DUMMYFUNCTION("""COMPUTED_VALUE"""),"PNG")</f>
        <v>PNG</v>
      </c>
      <c r="H507" s="8"/>
      <c r="I507" s="8">
        <f ca="1">IFERROR(__xludf.DUMMYFUNCTION("""COMPUTED_VALUE"""),100)</f>
        <v>100</v>
      </c>
      <c r="J507" s="8"/>
      <c r="K507" s="8"/>
      <c r="L507" s="8" t="str">
        <f ca="1">IFERROR(__xludf.DUMMYFUNCTION("""COMPUTED_VALUE"""),"White Rose")</f>
        <v>White Rose</v>
      </c>
      <c r="M507" s="16" t="str">
        <f ca="1">IFERROR(__xludf.DUMMYFUNCTION("""COMPUTED_VALUE"""),"ENG")</f>
        <v>ENG</v>
      </c>
      <c r="N507" s="16" t="str">
        <f ca="1">IFERROR(__xludf.DUMMYFUNCTION("""COMPUTED_VALUE"""),"Fontana")</f>
        <v>Fontana</v>
      </c>
      <c r="O507" s="8" t="str">
        <f ca="1">IFERROR(__xludf.DUMMYFUNCTION("""COMPUTED_VALUE"""),"Tim Wall")</f>
        <v>Tim Wall</v>
      </c>
      <c r="P507" s="8">
        <f ca="1">IFERROR(__xludf.DUMMYFUNCTION("""COMPUTED_VALUE"""),104)</f>
        <v>104</v>
      </c>
      <c r="Q507" s="8">
        <f ca="1">IFERROR(__xludf.DUMMYFUNCTION("""COMPUTED_VALUE"""),8)</f>
        <v>8</v>
      </c>
      <c r="R507" s="8">
        <f ca="1">IFERROR(__xludf.DUMMYFUNCTION("""COMPUTED_VALUE"""),832)</f>
        <v>832</v>
      </c>
      <c r="S507" s="8">
        <f ca="1">IFERROR(__xludf.DUMMYFUNCTION("""COMPUTED_VALUE"""),12.8)</f>
        <v>12.8</v>
      </c>
      <c r="T507" s="8">
        <f ca="1">IFERROR(__xludf.DUMMYFUNCTION("""COMPUTED_VALUE"""),844.8)</f>
        <v>844.8</v>
      </c>
      <c r="U507" s="8"/>
      <c r="V507" s="8"/>
      <c r="W507" s="8"/>
      <c r="X507" s="8"/>
      <c r="Y507" s="8"/>
      <c r="Z507" s="37" t="str">
        <f ca="1">IFERROR(__xludf.DUMMYFUNCTION("""COMPUTED_VALUE"""),"W9 4001")</f>
        <v>W9 4001</v>
      </c>
      <c r="AA507" s="37" t="str">
        <f ca="1">IFERROR(__xludf.DUMMYFUNCTION("""COMPUTED_VALUE"""),"27/10/2024")</f>
        <v>27/10/2024</v>
      </c>
      <c r="AB507" s="64">
        <f ca="1">IFERROR(__xludf.DUMMYFUNCTION("""COMPUTED_VALUE"""),0.972222222222222)</f>
        <v>0.97222222222222199</v>
      </c>
    </row>
    <row r="508" spans="1:28" ht="14.55" customHeight="1" x14ac:dyDescent="0.3">
      <c r="A508" s="8">
        <v>28</v>
      </c>
      <c r="B508" s="8"/>
      <c r="C508" s="8"/>
      <c r="D508" s="8" t="str">
        <f ca="1">IFERROR(__xludf.DUMMYFUNCTION("""COMPUTED_VALUE"""),"14/09/2024")</f>
        <v>14/09/2024</v>
      </c>
      <c r="E508" s="16" t="s">
        <v>0</v>
      </c>
      <c r="F508" s="8" t="str">
        <f ca="1">IFERROR(__xludf.DUMMYFUNCTION("""COMPUTED_VALUE"""),"Woozeer, Tabitha")</f>
        <v>Woozeer, Tabitha</v>
      </c>
      <c r="G508" s="16"/>
      <c r="H508" s="8"/>
      <c r="I508" s="8">
        <f ca="1">IFERROR(__xludf.DUMMYFUNCTION("""COMPUTED_VALUE"""),100)</f>
        <v>100</v>
      </c>
      <c r="J508" s="8"/>
      <c r="K508" s="8"/>
      <c r="L508" s="8" t="str">
        <f ca="1">IFERROR(__xludf.DUMMYFUNCTION("""COMPUTED_VALUE"""),"White Rose")</f>
        <v>White Rose</v>
      </c>
      <c r="M508" s="16" t="str">
        <f ca="1">IFERROR(__xludf.DUMMYFUNCTION("""COMPUTED_VALUE"""),"ENG")</f>
        <v>ENG</v>
      </c>
      <c r="N508" s="16" t="str">
        <f ca="1">IFERROR(__xludf.DUMMYFUNCTION("""COMPUTED_VALUE"""),"Fontana")</f>
        <v>Fontana</v>
      </c>
      <c r="O508" s="8" t="str">
        <f ca="1">IFERROR(__xludf.DUMMYFUNCTION("""COMPUTED_VALUE"""),"Seth Woozeer")</f>
        <v>Seth Woozeer</v>
      </c>
      <c r="P508" s="8">
        <f ca="1">IFERROR(__xludf.DUMMYFUNCTION("""COMPUTED_VALUE"""),84)</f>
        <v>84</v>
      </c>
      <c r="Q508" s="8">
        <f ca="1">IFERROR(__xludf.DUMMYFUNCTION("""COMPUTED_VALUE"""),8)</f>
        <v>8</v>
      </c>
      <c r="R508" s="8">
        <f ca="1">IFERROR(__xludf.DUMMYFUNCTION("""COMPUTED_VALUE"""),672)</f>
        <v>672</v>
      </c>
      <c r="S508" s="8">
        <f ca="1">IFERROR(__xludf.DUMMYFUNCTION("""COMPUTED_VALUE"""),12.8)</f>
        <v>12.8</v>
      </c>
      <c r="T508" s="8">
        <f ca="1">IFERROR(__xludf.DUMMYFUNCTION("""COMPUTED_VALUE"""),684.8)</f>
        <v>684.8</v>
      </c>
      <c r="U508" s="8"/>
      <c r="V508" s="8"/>
      <c r="W508" s="8"/>
      <c r="X508" s="8"/>
      <c r="Y508" s="8"/>
      <c r="Z508" s="37" t="str">
        <f ca="1">IFERROR(__xludf.DUMMYFUNCTION("""COMPUTED_VALUE"""),"W9 4001")</f>
        <v>W9 4001</v>
      </c>
      <c r="AA508" s="37" t="str">
        <f ca="1">IFERROR(__xludf.DUMMYFUNCTION("""COMPUTED_VALUE"""),"27/10/2024")</f>
        <v>27/10/2024</v>
      </c>
      <c r="AB508" s="64">
        <f ca="1">IFERROR(__xludf.DUMMYFUNCTION("""COMPUTED_VALUE"""),0.972222222222222)</f>
        <v>0.97222222222222199</v>
      </c>
    </row>
    <row r="509" spans="1:28" ht="14.55" customHeight="1" x14ac:dyDescent="0.3">
      <c r="A509" s="8">
        <v>29</v>
      </c>
      <c r="B509" s="8"/>
      <c r="C509" s="8"/>
      <c r="D509" s="8" t="str">
        <f ca="1">IFERROR(__xludf.DUMMYFUNCTION("""COMPUTED_VALUE"""),"26/07/2024")</f>
        <v>26/07/2024</v>
      </c>
      <c r="E509" s="16" t="str">
        <f ca="1">IFERROR(__xludf.DUMMYFUNCTION("""COMPUTED_VALUE"""),"Player")</f>
        <v>Player</v>
      </c>
      <c r="F509" s="8" t="str">
        <f ca="1">IFERROR(__xludf.DUMMYFUNCTION("""COMPUTED_VALUE"""),"Bazakutsa, Svyatoslav")</f>
        <v>Bazakutsa, Svyatoslav</v>
      </c>
      <c r="G509" s="16" t="str">
        <f ca="1">IFERROR(__xludf.DUMMYFUNCTION("""COMPUTED_VALUE"""),"UKR")</f>
        <v>UKR</v>
      </c>
      <c r="H509" s="8"/>
      <c r="I509" s="8">
        <f ca="1">IFERROR(__xludf.DUMMYFUNCTION("""COMPUTED_VALUE"""),100)</f>
        <v>100</v>
      </c>
      <c r="J509" s="8"/>
      <c r="K509" s="8"/>
      <c r="L509" s="8" t="str">
        <f ca="1">IFERROR(__xludf.DUMMYFUNCTION("""COMPUTED_VALUE"""),"Wood Green")</f>
        <v>Wood Green</v>
      </c>
      <c r="M509" s="16" t="str">
        <f ca="1">IFERROR(__xludf.DUMMYFUNCTION("""COMPUTED_VALUE"""),"ENG")</f>
        <v>ENG</v>
      </c>
      <c r="N509" s="16" t="str">
        <f ca="1">IFERROR(__xludf.DUMMYFUNCTION("""COMPUTED_VALUE"""),"Zepter")</f>
        <v>Zepter</v>
      </c>
      <c r="O509" s="8" t="str">
        <f ca="1">IFERROR(__xludf.DUMMYFUNCTION("""COMPUTED_VALUE"""),"LATINA")</f>
        <v>LATINA</v>
      </c>
      <c r="P509" s="8">
        <f ca="1">IFERROR(__xludf.DUMMYFUNCTION("""COMPUTED_VALUE"""),82)</f>
        <v>82</v>
      </c>
      <c r="Q509" s="8">
        <f ca="1">IFERROR(__xludf.DUMMYFUNCTION("""COMPUTED_VALUE"""),8)</f>
        <v>8</v>
      </c>
      <c r="R509" s="8">
        <f ca="1">IFERROR(__xludf.DUMMYFUNCTION("""COMPUTED_VALUE"""),656)</f>
        <v>656</v>
      </c>
      <c r="S509" s="8">
        <f ca="1">IFERROR(__xludf.DUMMYFUNCTION("""COMPUTED_VALUE"""),12.8)</f>
        <v>12.8</v>
      </c>
      <c r="T509" s="8">
        <f ca="1">IFERROR(__xludf.DUMMYFUNCTION("""COMPUTED_VALUE"""),668.8)</f>
        <v>668.8</v>
      </c>
      <c r="U509" s="8"/>
      <c r="V509" s="8"/>
      <c r="W509" s="8"/>
      <c r="X509" s="8"/>
      <c r="Y509" s="8"/>
      <c r="Z509" s="37" t="str">
        <f ca="1">IFERROR(__xludf.DUMMYFUNCTION("""COMPUTED_VALUE"""),"W9 4001")</f>
        <v>W9 4001</v>
      </c>
      <c r="AA509" s="37" t="str">
        <f ca="1">IFERROR(__xludf.DUMMYFUNCTION("""COMPUTED_VALUE"""),"27/10/2024")</f>
        <v>27/10/2024</v>
      </c>
      <c r="AB509" s="64">
        <f ca="1">IFERROR(__xludf.DUMMYFUNCTION("""COMPUTED_VALUE"""),0.972222222222222)</f>
        <v>0.97222222222222199</v>
      </c>
    </row>
    <row r="510" spans="1:28" ht="14.55" customHeight="1" x14ac:dyDescent="0.3">
      <c r="A510" s="8">
        <v>30</v>
      </c>
      <c r="B510" s="8"/>
      <c r="C510" s="8"/>
      <c r="D510" s="8" t="str">
        <f ca="1">IFERROR(__xludf.DUMMYFUNCTION("""COMPUTED_VALUE"""),"26/07/2024")</f>
        <v>26/07/2024</v>
      </c>
      <c r="E510" s="16" t="str">
        <f ca="1">IFERROR(__xludf.DUMMYFUNCTION("""COMPUTED_VALUE"""),"Player")</f>
        <v>Player</v>
      </c>
      <c r="F510" s="8" t="str">
        <f ca="1">IFERROR(__xludf.DUMMYFUNCTION("""COMPUTED_VALUE"""),"Haydon, David L")</f>
        <v>Haydon, David L</v>
      </c>
      <c r="G510" s="16" t="str">
        <f ca="1">IFERROR(__xludf.DUMMYFUNCTION("""COMPUTED_VALUE"""),"ENG")</f>
        <v>ENG</v>
      </c>
      <c r="H510" s="8"/>
      <c r="I510" s="8">
        <f ca="1">IFERROR(__xludf.DUMMYFUNCTION("""COMPUTED_VALUE"""),100)</f>
        <v>100</v>
      </c>
      <c r="J510" s="8"/>
      <c r="K510" s="8"/>
      <c r="L510" s="8" t="str">
        <f ca="1">IFERROR(__xludf.DUMMYFUNCTION("""COMPUTED_VALUE"""),"Wood Green")</f>
        <v>Wood Green</v>
      </c>
      <c r="M510" s="16" t="str">
        <f ca="1">IFERROR(__xludf.DUMMYFUNCTION("""COMPUTED_VALUE"""),"ENG")</f>
        <v>ENG</v>
      </c>
      <c r="N510" s="16" t="str">
        <f ca="1">IFERROR(__xludf.DUMMYFUNCTION("""COMPUTED_VALUE"""),"Zepter")</f>
        <v>Zepter</v>
      </c>
      <c r="O510" s="8"/>
      <c r="P510" s="8">
        <f ca="1">IFERROR(__xludf.DUMMYFUNCTION("""COMPUTED_VALUE"""),104)</f>
        <v>104</v>
      </c>
      <c r="Q510" s="8">
        <f ca="1">IFERROR(__xludf.DUMMYFUNCTION("""COMPUTED_VALUE"""),8)</f>
        <v>8</v>
      </c>
      <c r="R510" s="8">
        <f ca="1">IFERROR(__xludf.DUMMYFUNCTION("""COMPUTED_VALUE"""),832)</f>
        <v>832</v>
      </c>
      <c r="S510" s="8">
        <f ca="1">IFERROR(__xludf.DUMMYFUNCTION("""COMPUTED_VALUE"""),12.8)</f>
        <v>12.8</v>
      </c>
      <c r="T510" s="8">
        <f ca="1">IFERROR(__xludf.DUMMYFUNCTION("""COMPUTED_VALUE"""),844.8)</f>
        <v>844.8</v>
      </c>
      <c r="U510" s="8"/>
      <c r="V510" s="8"/>
      <c r="W510" s="8"/>
      <c r="X510" s="8"/>
      <c r="Y510" s="8"/>
      <c r="Z510" s="37" t="str">
        <f ca="1">IFERROR(__xludf.DUMMYFUNCTION("""COMPUTED_VALUE"""),"W9 4001")</f>
        <v>W9 4001</v>
      </c>
      <c r="AA510" s="37" t="str">
        <f ca="1">IFERROR(__xludf.DUMMYFUNCTION("""COMPUTED_VALUE"""),"27/10/2024")</f>
        <v>27/10/2024</v>
      </c>
      <c r="AB510" s="64">
        <f ca="1">IFERROR(__xludf.DUMMYFUNCTION("""COMPUTED_VALUE"""),0.972222222222222)</f>
        <v>0.97222222222222199</v>
      </c>
    </row>
    <row r="511" spans="1:28" ht="14.55" customHeight="1" x14ac:dyDescent="0.3">
      <c r="A511" s="8">
        <v>31</v>
      </c>
      <c r="B511" s="8"/>
      <c r="C511" s="8"/>
      <c r="D511" s="8" t="str">
        <f ca="1">IFERROR(__xludf.DUMMYFUNCTION("""COMPUTED_VALUE"""),"26/07/2024")</f>
        <v>26/07/2024</v>
      </c>
      <c r="E511" s="16" t="s">
        <v>0</v>
      </c>
      <c r="F511" s="8" t="str">
        <f ca="1">IFERROR(__xludf.DUMMYFUNCTION("""COMPUTED_VALUE"""),"Latina, Iryna")</f>
        <v>Latina, Iryna</v>
      </c>
      <c r="G511" s="16" t="str">
        <f ca="1">IFERROR(__xludf.DUMMYFUNCTION("""COMPUTED_VALUE"""),"UKR")</f>
        <v>UKR</v>
      </c>
      <c r="H511" s="8"/>
      <c r="I511" s="8">
        <f ca="1">IFERROR(__xludf.DUMMYFUNCTION("""COMPUTED_VALUE"""),100)</f>
        <v>100</v>
      </c>
      <c r="J511" s="8"/>
      <c r="K511" s="8"/>
      <c r="L511" s="8" t="str">
        <f ca="1">IFERROR(__xludf.DUMMYFUNCTION("""COMPUTED_VALUE"""),"Wood Green")</f>
        <v>Wood Green</v>
      </c>
      <c r="M511" s="16" t="str">
        <f ca="1">IFERROR(__xludf.DUMMYFUNCTION("""COMPUTED_VALUE"""),"ENG")</f>
        <v>ENG</v>
      </c>
      <c r="N511" s="16" t="str">
        <f ca="1">IFERROR(__xludf.DUMMYFUNCTION("""COMPUTED_VALUE"""),"Zepter")</f>
        <v>Zepter</v>
      </c>
      <c r="O511" s="8" t="str">
        <f ca="1">IFERROR(__xludf.DUMMYFUNCTION("""COMPUTED_VALUE"""),"BAZAKUTSA")</f>
        <v>BAZAKUTSA</v>
      </c>
      <c r="P511" s="8">
        <f ca="1">IFERROR(__xludf.DUMMYFUNCTION("""COMPUTED_VALUE"""),82)</f>
        <v>82</v>
      </c>
      <c r="Q511" s="8">
        <f ca="1">IFERROR(__xludf.DUMMYFUNCTION("""COMPUTED_VALUE"""),8)</f>
        <v>8</v>
      </c>
      <c r="R511" s="8">
        <f ca="1">IFERROR(__xludf.DUMMYFUNCTION("""COMPUTED_VALUE"""),656)</f>
        <v>656</v>
      </c>
      <c r="S511" s="8">
        <f ca="1">IFERROR(__xludf.DUMMYFUNCTION("""COMPUTED_VALUE"""),12.8)</f>
        <v>12.8</v>
      </c>
      <c r="T511" s="8">
        <f ca="1">IFERROR(__xludf.DUMMYFUNCTION("""COMPUTED_VALUE"""),668.8)</f>
        <v>668.8</v>
      </c>
      <c r="U511" s="8"/>
      <c r="V511" s="8"/>
      <c r="W511" s="8"/>
      <c r="X511" s="8"/>
      <c r="Y511" s="8"/>
      <c r="Z511" s="37" t="str">
        <f ca="1">IFERROR(__xludf.DUMMYFUNCTION("""COMPUTED_VALUE"""),"W9 4001")</f>
        <v>W9 4001</v>
      </c>
      <c r="AA511" s="37" t="str">
        <f ca="1">IFERROR(__xludf.DUMMYFUNCTION("""COMPUTED_VALUE"""),"27/10/2024")</f>
        <v>27/10/2024</v>
      </c>
      <c r="AB511" s="64">
        <f ca="1">IFERROR(__xludf.DUMMYFUNCTION("""COMPUTED_VALUE"""),0.972222222222222)</f>
        <v>0.97222222222222199</v>
      </c>
    </row>
    <row r="512" spans="1:28" ht="14.55" customHeight="1" x14ac:dyDescent="0.3">
      <c r="A512" s="8">
        <v>32</v>
      </c>
      <c r="B512" s="8"/>
      <c r="C512" s="8"/>
      <c r="D512" s="13">
        <f ca="1">IFERROR(__xludf.DUMMYFUNCTION("""COMPUTED_VALUE"""),45572)</f>
        <v>45572</v>
      </c>
      <c r="E512" s="16" t="str">
        <f ca="1">IFERROR(__xludf.DUMMYFUNCTION("""COMPUTED_VALUE"""),"Player")</f>
        <v>Player</v>
      </c>
      <c r="F512" s="8" t="str">
        <f ca="1">IFERROR(__xludf.DUMMYFUNCTION("""COMPUTED_VALUE"""),"Brewer, Callum D")</f>
        <v>Brewer, Callum D</v>
      </c>
      <c r="G512" s="16" t="str">
        <f ca="1">IFERROR(__xludf.DUMMYFUNCTION("""COMPUTED_VALUE"""),"ENG")</f>
        <v>ENG</v>
      </c>
      <c r="H512" s="8"/>
      <c r="I512" s="8">
        <f ca="1">IFERROR(__xludf.DUMMYFUNCTION("""COMPUTED_VALUE"""),100)</f>
        <v>100</v>
      </c>
      <c r="J512" s="8"/>
      <c r="K512" s="8"/>
      <c r="L512" s="8" t="str">
        <f ca="1">IFERROR(__xludf.DUMMYFUNCTION("""COMPUTED_VALUE"""),"Sussex Martlets")</f>
        <v>Sussex Martlets</v>
      </c>
      <c r="M512" s="16" t="str">
        <f ca="1">IFERROR(__xludf.DUMMYFUNCTION("""COMPUTED_VALUE"""),"ENG")</f>
        <v>ENG</v>
      </c>
      <c r="N512" s="16" t="str">
        <f ca="1">IFERROR(__xludf.DUMMYFUNCTION("""COMPUTED_VALUE"""),"Tonanti")</f>
        <v>Tonanti</v>
      </c>
      <c r="O512" s="8"/>
      <c r="P512" s="8">
        <f ca="1">IFERROR(__xludf.DUMMYFUNCTION("""COMPUTED_VALUE"""),108)</f>
        <v>108</v>
      </c>
      <c r="Q512" s="8">
        <f ca="1">IFERROR(__xludf.DUMMYFUNCTION("""COMPUTED_VALUE"""),9)</f>
        <v>9</v>
      </c>
      <c r="R512" s="8">
        <f ca="1">IFERROR(__xludf.DUMMYFUNCTION("""COMPUTED_VALUE"""),972)</f>
        <v>972</v>
      </c>
      <c r="S512" s="8">
        <f ca="1">IFERROR(__xludf.DUMMYFUNCTION("""COMPUTED_VALUE"""),14.4)</f>
        <v>14.4</v>
      </c>
      <c r="T512" s="8">
        <f ca="1">IFERROR(__xludf.DUMMYFUNCTION("""COMPUTED_VALUE"""),986.4)</f>
        <v>986.4</v>
      </c>
      <c r="U512" s="8"/>
      <c r="V512" s="8"/>
      <c r="W512" s="8" t="str">
        <f ca="1">IFERROR(__xludf.DUMMYFUNCTION("""COMPUTED_VALUE"""),"YES")</f>
        <v>YES</v>
      </c>
      <c r="X512" s="8"/>
      <c r="Y512" s="8"/>
      <c r="Z512" s="74" t="s">
        <v>49</v>
      </c>
      <c r="AA512" s="37" t="str">
        <f ca="1">IFERROR(__xludf.DUMMYFUNCTION("""COMPUTED_VALUE"""),"27/10/2024")</f>
        <v>27/10/2024</v>
      </c>
      <c r="AB512" s="64">
        <v>0.97222222222222221</v>
      </c>
    </row>
    <row r="513" spans="1:28" ht="14.55" customHeight="1" x14ac:dyDescent="0.3">
      <c r="A513" s="8">
        <v>33</v>
      </c>
      <c r="B513" s="8"/>
      <c r="C513" s="8"/>
      <c r="D513" s="13">
        <f ca="1">IFERROR(__xludf.DUMMYFUNCTION("""COMPUTED_VALUE"""),45572)</f>
        <v>45572</v>
      </c>
      <c r="E513" s="16" t="str">
        <f ca="1">IFERROR(__xludf.DUMMYFUNCTION("""COMPUTED_VALUE"""),"Player")</f>
        <v>Player</v>
      </c>
      <c r="F513" s="8" t="str">
        <f ca="1">IFERROR(__xludf.DUMMYFUNCTION("""COMPUTED_VALUE"""),"Willson, Ollie")</f>
        <v>Willson, Ollie</v>
      </c>
      <c r="G513" s="16" t="str">
        <f ca="1">IFERROR(__xludf.DUMMYFUNCTION("""COMPUTED_VALUE"""),"ENG")</f>
        <v>ENG</v>
      </c>
      <c r="H513" s="8"/>
      <c r="I513" s="8">
        <f ca="1">IFERROR(__xludf.DUMMYFUNCTION("""COMPUTED_VALUE"""),100)</f>
        <v>100</v>
      </c>
      <c r="J513" s="8"/>
      <c r="K513" s="8"/>
      <c r="L513" s="8" t="str">
        <f ca="1">IFERROR(__xludf.DUMMYFUNCTION("""COMPUTED_VALUE"""),"Sussex Martlets")</f>
        <v>Sussex Martlets</v>
      </c>
      <c r="M513" s="16" t="str">
        <f ca="1">IFERROR(__xludf.DUMMYFUNCTION("""COMPUTED_VALUE"""),"ENG")</f>
        <v>ENG</v>
      </c>
      <c r="N513" s="16" t="str">
        <f ca="1">IFERROR(__xludf.DUMMYFUNCTION("""COMPUTED_VALUE"""),"Tonanti")</f>
        <v>Tonanti</v>
      </c>
      <c r="O513" s="8" t="str">
        <f ca="1">IFERROR(__xludf.DUMMYFUNCTION("""COMPUTED_VALUE"""),"Cumming, Rhys")</f>
        <v>Cumming, Rhys</v>
      </c>
      <c r="P513" s="8">
        <f ca="1">IFERROR(__xludf.DUMMYFUNCTION("""COMPUTED_VALUE"""),85)</f>
        <v>85</v>
      </c>
      <c r="Q513" s="8">
        <f ca="1">IFERROR(__xludf.DUMMYFUNCTION("""COMPUTED_VALUE"""),9)</f>
        <v>9</v>
      </c>
      <c r="R513" s="8">
        <f ca="1">IFERROR(__xludf.DUMMYFUNCTION("""COMPUTED_VALUE"""),788)</f>
        <v>788</v>
      </c>
      <c r="S513" s="8">
        <f ca="1">IFERROR(__xludf.DUMMYFUNCTION("""COMPUTED_VALUE"""),14.4)</f>
        <v>14.4</v>
      </c>
      <c r="T513" s="8">
        <f ca="1">IFERROR(__xludf.DUMMYFUNCTION("""COMPUTED_VALUE"""),802.4)</f>
        <v>802.4</v>
      </c>
      <c r="U513" s="8"/>
      <c r="V513" s="8"/>
      <c r="W513" s="8" t="str">
        <f ca="1">IFERROR(__xludf.DUMMYFUNCTION("""COMPUTED_VALUE"""),"YES")</f>
        <v>YES</v>
      </c>
      <c r="X513" s="8" t="str">
        <f ca="1">IFERROR(__xludf.DUMMYFUNCTION("""COMPUTED_VALUE"""),"Dopl. za SGL 18/19.10.EUR 23,00")</f>
        <v>Dopl. za SGL 18/19.10.EUR 23,00</v>
      </c>
      <c r="Y513" s="8"/>
      <c r="Z513" s="74" t="s">
        <v>49</v>
      </c>
      <c r="AA513" s="37" t="str">
        <f ca="1">IFERROR(__xludf.DUMMYFUNCTION("""COMPUTED_VALUE"""),"27/10/2024")</f>
        <v>27/10/2024</v>
      </c>
      <c r="AB513" s="64">
        <v>0.97222222222222221</v>
      </c>
    </row>
    <row r="514" spans="1:28" ht="14.55" customHeight="1" x14ac:dyDescent="0.3">
      <c r="A514" s="8">
        <v>34</v>
      </c>
      <c r="B514" s="8"/>
      <c r="C514" s="8"/>
      <c r="D514" s="13">
        <f ca="1">IFERROR(__xludf.DUMMYFUNCTION("""COMPUTED_VALUE"""),45572)</f>
        <v>45572</v>
      </c>
      <c r="E514" s="16" t="str">
        <f ca="1">IFERROR(__xludf.DUMMYFUNCTION("""COMPUTED_VALUE"""),"Player")</f>
        <v>Player</v>
      </c>
      <c r="F514" s="8" t="str">
        <f ca="1">IFERROR(__xludf.DUMMYFUNCTION("""COMPUTED_VALUE"""),"Grant, David J")</f>
        <v>Grant, David J</v>
      </c>
      <c r="G514" s="16" t="str">
        <f ca="1">IFERROR(__xludf.DUMMYFUNCTION("""COMPUTED_VALUE"""),"ENG")</f>
        <v>ENG</v>
      </c>
      <c r="H514" s="8"/>
      <c r="I514" s="8">
        <f ca="1">IFERROR(__xludf.DUMMYFUNCTION("""COMPUTED_VALUE"""),100)</f>
        <v>100</v>
      </c>
      <c r="J514" s="8"/>
      <c r="K514" s="8"/>
      <c r="L514" s="8" t="str">
        <f ca="1">IFERROR(__xludf.DUMMYFUNCTION("""COMPUTED_VALUE"""),"Sussex Martlets")</f>
        <v>Sussex Martlets</v>
      </c>
      <c r="M514" s="16" t="str">
        <f ca="1">IFERROR(__xludf.DUMMYFUNCTION("""COMPUTED_VALUE"""),"ENG")</f>
        <v>ENG</v>
      </c>
      <c r="N514" s="16" t="str">
        <f ca="1">IFERROR(__xludf.DUMMYFUNCTION("""COMPUTED_VALUE"""),"Tonanti")</f>
        <v>Tonanti</v>
      </c>
      <c r="O514" s="8"/>
      <c r="P514" s="8">
        <f ca="1">IFERROR(__xludf.DUMMYFUNCTION("""COMPUTED_VALUE"""),108)</f>
        <v>108</v>
      </c>
      <c r="Q514" s="8">
        <f ca="1">IFERROR(__xludf.DUMMYFUNCTION("""COMPUTED_VALUE"""),8)</f>
        <v>8</v>
      </c>
      <c r="R514" s="8">
        <f ca="1">IFERROR(__xludf.DUMMYFUNCTION("""COMPUTED_VALUE"""),864)</f>
        <v>864</v>
      </c>
      <c r="S514" s="8">
        <f ca="1">IFERROR(__xludf.DUMMYFUNCTION("""COMPUTED_VALUE"""),12.8)</f>
        <v>12.8</v>
      </c>
      <c r="T514" s="8">
        <f ca="1">IFERROR(__xludf.DUMMYFUNCTION("""COMPUTED_VALUE"""),876.8)</f>
        <v>876.8</v>
      </c>
      <c r="U514" s="8"/>
      <c r="V514" s="8"/>
      <c r="W514" s="8" t="str">
        <f ca="1">IFERROR(__xludf.DUMMYFUNCTION("""COMPUTED_VALUE"""),"YES")</f>
        <v>YES</v>
      </c>
      <c r="X514" s="8"/>
      <c r="Y514" s="8"/>
      <c r="Z514" s="74" t="s">
        <v>49</v>
      </c>
      <c r="AA514" s="37" t="str">
        <f ca="1">IFERROR(__xludf.DUMMYFUNCTION("""COMPUTED_VALUE"""),"27/10/2024")</f>
        <v>27/10/2024</v>
      </c>
      <c r="AB514" s="64">
        <v>0.97222222222222221</v>
      </c>
    </row>
    <row r="515" spans="1:28" ht="14.55" customHeight="1" x14ac:dyDescent="0.3">
      <c r="A515" s="8">
        <v>35</v>
      </c>
      <c r="B515" s="8"/>
      <c r="C515" s="8"/>
      <c r="D515" s="8"/>
      <c r="E515" s="29" t="s">
        <v>12</v>
      </c>
      <c r="F515" s="42" t="s">
        <v>11</v>
      </c>
      <c r="G515" s="16"/>
      <c r="H515" s="8"/>
      <c r="I515" s="8"/>
      <c r="J515" s="8"/>
      <c r="K515" s="8"/>
      <c r="L515" s="8"/>
      <c r="M515" s="16"/>
      <c r="N515" s="16"/>
      <c r="O515" s="8"/>
      <c r="P515" s="8"/>
      <c r="Q515" s="8"/>
      <c r="R515" s="8">
        <f ca="1">IFERROR(__xludf.DUMMYFUNCTION("""COMPUTED_VALUE"""),0)</f>
        <v>0</v>
      </c>
      <c r="S515" s="8">
        <f ca="1">IFERROR(__xludf.DUMMYFUNCTION("""COMPUTED_VALUE"""),0)</f>
        <v>0</v>
      </c>
      <c r="T515" s="8">
        <f ca="1">IFERROR(__xludf.DUMMYFUNCTION("""COMPUTED_VALUE"""),0)</f>
        <v>0</v>
      </c>
      <c r="U515" s="8"/>
      <c r="V515" s="8"/>
      <c r="W515" s="8"/>
      <c r="X515" s="8"/>
      <c r="Y515" s="8"/>
      <c r="Z515" s="37"/>
      <c r="AA515" s="37" t="str">
        <f ca="1">IFERROR(__xludf.DUMMYFUNCTION("""COMPUTED_VALUE"""),"27/10/2024")</f>
        <v>27/10/2024</v>
      </c>
      <c r="AB515" s="64">
        <v>0.97222222222222221</v>
      </c>
    </row>
    <row r="516" spans="1:28" ht="14.55" customHeight="1" x14ac:dyDescent="0.3">
      <c r="A516" s="8">
        <v>36</v>
      </c>
      <c r="B516" s="8"/>
      <c r="C516" s="8"/>
      <c r="D516" s="8" t="str">
        <f ca="1">IFERROR(__xludf.DUMMYFUNCTION("""COMPUTED_VALUE"""),"14/08/2024")</f>
        <v>14/08/2024</v>
      </c>
      <c r="E516" s="16" t="str">
        <f ca="1">IFERROR(__xludf.DUMMYFUNCTION("""COMPUTED_VALUE"""),"Player")</f>
        <v>Player</v>
      </c>
      <c r="F516" s="8" t="str">
        <f ca="1">IFERROR(__xludf.DUMMYFUNCTION("""COMPUTED_VALUE"""),"Zhu, Jiner")</f>
        <v>Zhu, Jiner</v>
      </c>
      <c r="G516" s="8" t="str">
        <f ca="1">IFERROR(__xludf.DUMMYFUNCTION("""COMPUTED_VALUE"""),"CHN")</f>
        <v>CHN</v>
      </c>
      <c r="H516" s="8"/>
      <c r="I516" s="8">
        <f ca="1">IFERROR(__xludf.DUMMYFUNCTION("""COMPUTED_VALUE"""),100)</f>
        <v>100</v>
      </c>
      <c r="J516" s="8"/>
      <c r="K516" s="8"/>
      <c r="L516" s="8" t="str">
        <f ca="1">IFERROR(__xludf.DUMMYFUNCTION("""COMPUTED_VALUE"""),"Tajfun SK")</f>
        <v>Tajfun SK</v>
      </c>
      <c r="M516" s="8" t="str">
        <f ca="1">IFERROR(__xludf.DUMMYFUNCTION("""COMPUTED_VALUE"""),"SLO")</f>
        <v>SLO</v>
      </c>
      <c r="N516" s="16" t="str">
        <f ca="1">IFERROR(__xludf.DUMMYFUNCTION("""COMPUTED_VALUE"""),"Tonanti")</f>
        <v>Tonanti</v>
      </c>
      <c r="O516" s="8" t="str">
        <f ca="1">IFERROR(__xludf.DUMMYFUNCTION("""COMPUTED_VALUE"""),"Single")</f>
        <v>Single</v>
      </c>
      <c r="P516" s="8"/>
      <c r="Q516" s="8">
        <f ca="1">IFERROR(__xludf.DUMMYFUNCTION("""COMPUTED_VALUE"""),8)</f>
        <v>8</v>
      </c>
      <c r="R516" s="8">
        <f ca="1">IFERROR(__xludf.DUMMYFUNCTION("""COMPUTED_VALUE"""),864)</f>
        <v>864</v>
      </c>
      <c r="S516" s="8">
        <f ca="1">IFERROR(__xludf.DUMMYFUNCTION("""COMPUTED_VALUE"""),12.8)</f>
        <v>12.8</v>
      </c>
      <c r="T516" s="8">
        <f ca="1">IFERROR(__xludf.DUMMYFUNCTION("""COMPUTED_VALUE"""),876.8)</f>
        <v>876.8</v>
      </c>
      <c r="U516" s="8"/>
      <c r="V516" s="8"/>
      <c r="W516" s="8"/>
      <c r="X516" s="8"/>
      <c r="Y516" s="8"/>
      <c r="Z516" s="37" t="str">
        <f ca="1">IFERROR(__xludf.DUMMYFUNCTION("""COMPUTED_VALUE"""),"EK2295")</f>
        <v>EK2295</v>
      </c>
      <c r="AA516" s="37" t="str">
        <f ca="1">IFERROR(__xludf.DUMMYFUNCTION("""COMPUTED_VALUE"""),"26/10/2024")</f>
        <v>26/10/2024</v>
      </c>
      <c r="AB516" s="64">
        <f ca="1">IFERROR(__xludf.DUMMYFUNCTION("""COMPUTED_VALUE"""),0.996527777777777)</f>
        <v>0.99652777777777701</v>
      </c>
    </row>
    <row r="517" spans="1:28" ht="27" customHeight="1" x14ac:dyDescent="0.4">
      <c r="A517" s="48" t="s">
        <v>66</v>
      </c>
      <c r="B517" s="49"/>
      <c r="C517" s="49"/>
      <c r="D517" s="49"/>
      <c r="E517" s="50"/>
      <c r="F517" s="49"/>
      <c r="G517" s="50"/>
      <c r="H517" s="49"/>
      <c r="I517" s="49"/>
      <c r="J517" s="49"/>
      <c r="K517" s="49"/>
      <c r="L517" s="49"/>
      <c r="M517" s="50"/>
      <c r="N517" s="50"/>
      <c r="O517" s="49"/>
      <c r="P517" s="49"/>
      <c r="Q517" s="49"/>
      <c r="R517" s="49"/>
      <c r="S517" s="49"/>
      <c r="T517" s="49"/>
      <c r="U517" s="49"/>
      <c r="V517" s="49"/>
      <c r="W517" s="49"/>
      <c r="X517" s="49"/>
      <c r="Y517" s="49"/>
      <c r="Z517" s="69"/>
      <c r="AA517" s="53"/>
      <c r="AB517" s="62"/>
    </row>
    <row r="518" spans="1:28" ht="14.55" customHeight="1" x14ac:dyDescent="0.3">
      <c r="A518" s="8"/>
      <c r="B518" s="8"/>
      <c r="C518" s="8"/>
      <c r="D518" s="13">
        <f ca="1">IFERROR(__xludf.DUMMYFUNCTION("""COMPUTED_VALUE"""),45330)</f>
        <v>45330</v>
      </c>
      <c r="E518" s="16" t="s">
        <v>0</v>
      </c>
      <c r="F518" s="8" t="str">
        <f ca="1">IFERROR(__xludf.DUMMYFUNCTION("""COMPUTED_VALUE"""),"McTigue, Sara")</f>
        <v>McTigue, Sara</v>
      </c>
      <c r="G518" s="16" t="str">
        <f ca="1">IFERROR(__xludf.DUMMYFUNCTION("""COMPUTED_VALUE"""),"DEN")</f>
        <v>DEN</v>
      </c>
      <c r="H518" s="8"/>
      <c r="I518" s="8">
        <f ca="1">IFERROR(__xludf.DUMMYFUNCTION("""COMPUTED_VALUE"""),100)</f>
        <v>100</v>
      </c>
      <c r="J518" s="8"/>
      <c r="K518" s="8"/>
      <c r="L518" s="8" t="str">
        <f ca="1">IFERROR(__xludf.DUMMYFUNCTION("""COMPUTED_VALUE"""),"Aarhus Skakklub/Skolerne")</f>
        <v>Aarhus Skakklub/Skolerne</v>
      </c>
      <c r="M518" s="16" t="str">
        <f ca="1">IFERROR(__xludf.DUMMYFUNCTION("""COMPUTED_VALUE"""),"DEN")</f>
        <v>DEN</v>
      </c>
      <c r="N518" s="16" t="str">
        <f ca="1">IFERROR(__xludf.DUMMYFUNCTION("""COMPUTED_VALUE"""),"Zepter")</f>
        <v>Zepter</v>
      </c>
      <c r="O518" s="8" t="str">
        <f ca="1">IFERROR(__xludf.DUMMYFUNCTION("""COMPUTED_VALUE"""),"John Rendboe")</f>
        <v>John Rendboe</v>
      </c>
      <c r="P518" s="8">
        <f ca="1">IFERROR(__xludf.DUMMYFUNCTION("""COMPUTED_VALUE"""),82)</f>
        <v>82</v>
      </c>
      <c r="Q518" s="8"/>
      <c r="R518" s="8">
        <f ca="1">IFERROR(__xludf.DUMMYFUNCTION("""COMPUTED_VALUE"""),0)</f>
        <v>0</v>
      </c>
      <c r="S518" s="8">
        <f ca="1">IFERROR(__xludf.DUMMYFUNCTION("""COMPUTED_VALUE"""),0)</f>
        <v>0</v>
      </c>
      <c r="T518" s="8">
        <f ca="1">IFERROR(__xludf.DUMMYFUNCTION("""COMPUTED_VALUE"""),0)</f>
        <v>0</v>
      </c>
      <c r="U518" s="8"/>
      <c r="V518" s="8"/>
      <c r="W518" s="8"/>
      <c r="X518" s="8"/>
      <c r="Y518" s="8"/>
      <c r="Z518" s="37"/>
      <c r="AA518" s="37"/>
      <c r="AB518" s="65"/>
    </row>
    <row r="519" spans="1:28" ht="14.55" customHeight="1" x14ac:dyDescent="0.3">
      <c r="A519" s="8"/>
      <c r="B519" s="8"/>
      <c r="C519" s="8"/>
      <c r="D519" s="8" t="str">
        <f ca="1">IFERROR(__xludf.DUMMYFUNCTION("""COMPUTED_VALUE"""),"15/08/2024")</f>
        <v>15/08/2024</v>
      </c>
      <c r="E519" s="16" t="str">
        <f ca="1">IFERROR(__xludf.DUMMYFUNCTION("""COMPUTED_VALUE"""),"Player")</f>
        <v>Player</v>
      </c>
      <c r="F519" s="8" t="str">
        <f ca="1">IFERROR(__xludf.DUMMYFUNCTION("""COMPUTED_VALUE"""),"Mamedyarov, Shakhriyar")</f>
        <v>Mamedyarov, Shakhriyar</v>
      </c>
      <c r="G519" s="16" t="str">
        <f ca="1">IFERROR(__xludf.DUMMYFUNCTION("""COMPUTED_VALUE"""),"AZE")</f>
        <v>AZE</v>
      </c>
      <c r="H519" s="8"/>
      <c r="I519" s="8">
        <f ca="1">IFERROR(__xludf.DUMMYFUNCTION("""COMPUTED_VALUE"""),100)</f>
        <v>100</v>
      </c>
      <c r="J519" s="8"/>
      <c r="K519" s="8"/>
      <c r="L519" s="8" t="str">
        <f ca="1">IFERROR(__xludf.DUMMYFUNCTION("""COMPUTED_VALUE"""),"Bayegan Pendik")</f>
        <v>Bayegan Pendik</v>
      </c>
      <c r="M519" s="16" t="str">
        <f ca="1">IFERROR(__xludf.DUMMYFUNCTION("""COMPUTED_VALUE"""),"TUR")</f>
        <v>TUR</v>
      </c>
      <c r="N519" s="16" t="str">
        <f ca="1">IFERROR(__xludf.DUMMYFUNCTION("""COMPUTED_VALUE"""),"Tonanti")</f>
        <v>Tonanti</v>
      </c>
      <c r="O519" s="8"/>
      <c r="P519" s="8">
        <f ca="1">IFERROR(__xludf.DUMMYFUNCTION("""COMPUTED_VALUE"""),108)</f>
        <v>108</v>
      </c>
      <c r="Q519" s="8">
        <f ca="1">IFERROR(__xludf.DUMMYFUNCTION("""COMPUTED_VALUE"""),8)</f>
        <v>8</v>
      </c>
      <c r="R519" s="8">
        <f ca="1">IFERROR(__xludf.DUMMYFUNCTION("""COMPUTED_VALUE"""),864)</f>
        <v>864</v>
      </c>
      <c r="S519" s="8">
        <f ca="1">IFERROR(__xludf.DUMMYFUNCTION("""COMPUTED_VALUE"""),12.8)</f>
        <v>12.8</v>
      </c>
      <c r="T519" s="8">
        <f ca="1">IFERROR(__xludf.DUMMYFUNCTION("""COMPUTED_VALUE"""),876.8)</f>
        <v>876.8</v>
      </c>
      <c r="U519" s="8"/>
      <c r="V519" s="8"/>
      <c r="W519" s="8"/>
      <c r="X519" s="8"/>
      <c r="Y519" s="8"/>
      <c r="Z519" s="37"/>
      <c r="AA519" s="37" t="str">
        <f ca="1">IFERROR(__xludf.DUMMYFUNCTION("""COMPUTED_VALUE"""),"27/10/2024")</f>
        <v>27/10/2024</v>
      </c>
      <c r="AB519" s="65"/>
    </row>
    <row r="520" spans="1:28" ht="14.55" customHeight="1" x14ac:dyDescent="0.3">
      <c r="A520" s="8"/>
      <c r="B520" s="8"/>
      <c r="C520" s="8"/>
      <c r="D520" s="8" t="str">
        <f ca="1">IFERROR(__xludf.DUMMYFUNCTION("""COMPUTED_VALUE"""),"15/08/2024")</f>
        <v>15/08/2024</v>
      </c>
      <c r="E520" s="16" t="str">
        <f ca="1">IFERROR(__xludf.DUMMYFUNCTION("""COMPUTED_VALUE"""),"Player")</f>
        <v>Player</v>
      </c>
      <c r="F520" s="8" t="str">
        <f ca="1">IFERROR(__xludf.DUMMYFUNCTION("""COMPUTED_VALUE"""),"Radjabov, Teimour")</f>
        <v>Radjabov, Teimour</v>
      </c>
      <c r="G520" s="16" t="str">
        <f ca="1">IFERROR(__xludf.DUMMYFUNCTION("""COMPUTED_VALUE"""),"AZE")</f>
        <v>AZE</v>
      </c>
      <c r="H520" s="8"/>
      <c r="I520" s="8">
        <f ca="1">IFERROR(__xludf.DUMMYFUNCTION("""COMPUTED_VALUE"""),100)</f>
        <v>100</v>
      </c>
      <c r="J520" s="8"/>
      <c r="K520" s="8"/>
      <c r="L520" s="8" t="str">
        <f ca="1">IFERROR(__xludf.DUMMYFUNCTION("""COMPUTED_VALUE"""),"Bayegan Pendik")</f>
        <v>Bayegan Pendik</v>
      </c>
      <c r="M520" s="16" t="str">
        <f ca="1">IFERROR(__xludf.DUMMYFUNCTION("""COMPUTED_VALUE"""),"TUR")</f>
        <v>TUR</v>
      </c>
      <c r="N520" s="16" t="str">
        <f ca="1">IFERROR(__xludf.DUMMYFUNCTION("""COMPUTED_VALUE"""),"Tonanti")</f>
        <v>Tonanti</v>
      </c>
      <c r="O520" s="8"/>
      <c r="P520" s="8">
        <f ca="1">IFERROR(__xludf.DUMMYFUNCTION("""COMPUTED_VALUE"""),108)</f>
        <v>108</v>
      </c>
      <c r="Q520" s="8">
        <f ca="1">IFERROR(__xludf.DUMMYFUNCTION("""COMPUTED_VALUE"""),8)</f>
        <v>8</v>
      </c>
      <c r="R520" s="8">
        <f ca="1">IFERROR(__xludf.DUMMYFUNCTION("""COMPUTED_VALUE"""),864)</f>
        <v>864</v>
      </c>
      <c r="S520" s="8">
        <f ca="1">IFERROR(__xludf.DUMMYFUNCTION("""COMPUTED_VALUE"""),12.8)</f>
        <v>12.8</v>
      </c>
      <c r="T520" s="8">
        <f ca="1">IFERROR(__xludf.DUMMYFUNCTION("""COMPUTED_VALUE"""),876.8)</f>
        <v>876.8</v>
      </c>
      <c r="U520" s="8"/>
      <c r="V520" s="8"/>
      <c r="W520" s="8"/>
      <c r="X520" s="8"/>
      <c r="Y520" s="8"/>
      <c r="Z520" s="37"/>
      <c r="AA520" s="37" t="str">
        <f ca="1">IFERROR(__xludf.DUMMYFUNCTION("""COMPUTED_VALUE"""),"27/10/2024")</f>
        <v>27/10/2024</v>
      </c>
      <c r="AB520" s="65"/>
    </row>
    <row r="521" spans="1:28" ht="14.55" customHeight="1" x14ac:dyDescent="0.3">
      <c r="A521" s="8"/>
      <c r="B521" s="8"/>
      <c r="C521" s="8"/>
      <c r="D521" s="8" t="str">
        <f ca="1">IFERROR(__xludf.DUMMYFUNCTION("""COMPUTED_VALUE"""),"15/08/2024")</f>
        <v>15/08/2024</v>
      </c>
      <c r="E521" s="16" t="str">
        <f ca="1">IFERROR(__xludf.DUMMYFUNCTION("""COMPUTED_VALUE"""),"Player")</f>
        <v>Player</v>
      </c>
      <c r="F521" s="8" t="str">
        <f ca="1">IFERROR(__xludf.DUMMYFUNCTION("""COMPUTED_VALUE"""),"Fedoseev, Vladimir")</f>
        <v>Fedoseev, Vladimir</v>
      </c>
      <c r="G521" s="16" t="str">
        <f ca="1">IFERROR(__xludf.DUMMYFUNCTION("""COMPUTED_VALUE"""),"SLO")</f>
        <v>SLO</v>
      </c>
      <c r="H521" s="8"/>
      <c r="I521" s="8">
        <f ca="1">IFERROR(__xludf.DUMMYFUNCTION("""COMPUTED_VALUE"""),100)</f>
        <v>100</v>
      </c>
      <c r="J521" s="8"/>
      <c r="K521" s="8"/>
      <c r="L521" s="8" t="str">
        <f ca="1">IFERROR(__xludf.DUMMYFUNCTION("""COMPUTED_VALUE"""),"Bayegan Pendik")</f>
        <v>Bayegan Pendik</v>
      </c>
      <c r="M521" s="16" t="str">
        <f ca="1">IFERROR(__xludf.DUMMYFUNCTION("""COMPUTED_VALUE"""),"TUR")</f>
        <v>TUR</v>
      </c>
      <c r="N521" s="16" t="str">
        <f ca="1">IFERROR(__xludf.DUMMYFUNCTION("""COMPUTED_VALUE"""),"Tonanti")</f>
        <v>Tonanti</v>
      </c>
      <c r="O521" s="8"/>
      <c r="P521" s="8">
        <f ca="1">IFERROR(__xludf.DUMMYFUNCTION("""COMPUTED_VALUE"""),108)</f>
        <v>108</v>
      </c>
      <c r="Q521" s="8">
        <f ca="1">IFERROR(__xludf.DUMMYFUNCTION("""COMPUTED_VALUE"""),4)</f>
        <v>4</v>
      </c>
      <c r="R521" s="8">
        <f ca="1">IFERROR(__xludf.DUMMYFUNCTION("""COMPUTED_VALUE"""),432)</f>
        <v>432</v>
      </c>
      <c r="S521" s="8">
        <f ca="1">IFERROR(__xludf.DUMMYFUNCTION("""COMPUTED_VALUE"""),6.4)</f>
        <v>6.4</v>
      </c>
      <c r="T521" s="8">
        <f ca="1">IFERROR(__xludf.DUMMYFUNCTION("""COMPUTED_VALUE"""),438.4)</f>
        <v>438.4</v>
      </c>
      <c r="U521" s="8"/>
      <c r="V521" s="8"/>
      <c r="W521" s="8"/>
      <c r="X521" s="8"/>
      <c r="Y521" s="8"/>
      <c r="Z521" s="37"/>
      <c r="AA521" s="37" t="str">
        <f ca="1">IFERROR(__xludf.DUMMYFUNCTION("""COMPUTED_VALUE"""),"27/10/2024")</f>
        <v>27/10/2024</v>
      </c>
      <c r="AB521" s="65"/>
    </row>
    <row r="522" spans="1:28" ht="14.55" customHeight="1" x14ac:dyDescent="0.3">
      <c r="A522" s="8"/>
      <c r="B522" s="8"/>
      <c r="C522" s="8"/>
      <c r="D522" s="8" t="str">
        <f ca="1">IFERROR(__xludf.DUMMYFUNCTION("""COMPUTED_VALUE"""),"15/08/2024")</f>
        <v>15/08/2024</v>
      </c>
      <c r="E522" s="16" t="str">
        <f ca="1">IFERROR(__xludf.DUMMYFUNCTION("""COMPUTED_VALUE"""),"Player")</f>
        <v>Player</v>
      </c>
      <c r="F522" s="8" t="str">
        <f ca="1">IFERROR(__xludf.DUMMYFUNCTION("""COMPUTED_VALUE"""),"Abasov, Nijat")</f>
        <v>Abasov, Nijat</v>
      </c>
      <c r="G522" s="16" t="str">
        <f ca="1">IFERROR(__xludf.DUMMYFUNCTION("""COMPUTED_VALUE"""),"AZE")</f>
        <v>AZE</v>
      </c>
      <c r="H522" s="8"/>
      <c r="I522" s="8">
        <f ca="1">IFERROR(__xludf.DUMMYFUNCTION("""COMPUTED_VALUE"""),100)</f>
        <v>100</v>
      </c>
      <c r="J522" s="8"/>
      <c r="K522" s="8"/>
      <c r="L522" s="8" t="str">
        <f ca="1">IFERROR(__xludf.DUMMYFUNCTION("""COMPUTED_VALUE"""),"Bayegan Pendik")</f>
        <v>Bayegan Pendik</v>
      </c>
      <c r="M522" s="16" t="str">
        <f ca="1">IFERROR(__xludf.DUMMYFUNCTION("""COMPUTED_VALUE"""),"TUR")</f>
        <v>TUR</v>
      </c>
      <c r="N522" s="16" t="str">
        <f ca="1">IFERROR(__xludf.DUMMYFUNCTION("""COMPUTED_VALUE"""),"Tonanti")</f>
        <v>Tonanti</v>
      </c>
      <c r="O522" s="8"/>
      <c r="P522" s="8">
        <f ca="1">IFERROR(__xludf.DUMMYFUNCTION("""COMPUTED_VALUE"""),108)</f>
        <v>108</v>
      </c>
      <c r="Q522" s="8">
        <f ca="1">IFERROR(__xludf.DUMMYFUNCTION("""COMPUTED_VALUE"""),8)</f>
        <v>8</v>
      </c>
      <c r="R522" s="8">
        <f ca="1">IFERROR(__xludf.DUMMYFUNCTION("""COMPUTED_VALUE"""),864)</f>
        <v>864</v>
      </c>
      <c r="S522" s="8">
        <f ca="1">IFERROR(__xludf.DUMMYFUNCTION("""COMPUTED_VALUE"""),12.8)</f>
        <v>12.8</v>
      </c>
      <c r="T522" s="8">
        <f ca="1">IFERROR(__xludf.DUMMYFUNCTION("""COMPUTED_VALUE"""),876.8)</f>
        <v>876.8</v>
      </c>
      <c r="U522" s="8"/>
      <c r="V522" s="8"/>
      <c r="W522" s="8"/>
      <c r="X522" s="8"/>
      <c r="Y522" s="8"/>
      <c r="Z522" s="37"/>
      <c r="AA522" s="37" t="str">
        <f ca="1">IFERROR(__xludf.DUMMYFUNCTION("""COMPUTED_VALUE"""),"27/10/2024")</f>
        <v>27/10/2024</v>
      </c>
      <c r="AB522" s="65"/>
    </row>
    <row r="523" spans="1:28" ht="14.55" customHeight="1" x14ac:dyDescent="0.3">
      <c r="A523" s="8"/>
      <c r="B523" s="8"/>
      <c r="C523" s="8"/>
      <c r="D523" s="8" t="str">
        <f ca="1">IFERROR(__xludf.DUMMYFUNCTION("""COMPUTED_VALUE"""),"15/08/2024")</f>
        <v>15/08/2024</v>
      </c>
      <c r="E523" s="16" t="str">
        <f ca="1">IFERROR(__xludf.DUMMYFUNCTION("""COMPUTED_VALUE"""),"Player")</f>
        <v>Player</v>
      </c>
      <c r="F523" s="8" t="str">
        <f ca="1">IFERROR(__xludf.DUMMYFUNCTION("""COMPUTED_VALUE"""),"Can, Isik")</f>
        <v>Can, Isik</v>
      </c>
      <c r="G523" s="16" t="str">
        <f ca="1">IFERROR(__xludf.DUMMYFUNCTION("""COMPUTED_VALUE"""),"TUR")</f>
        <v>TUR</v>
      </c>
      <c r="H523" s="8"/>
      <c r="I523" s="8">
        <f ca="1">IFERROR(__xludf.DUMMYFUNCTION("""COMPUTED_VALUE"""),100)</f>
        <v>100</v>
      </c>
      <c r="J523" s="8"/>
      <c r="K523" s="8"/>
      <c r="L523" s="8" t="str">
        <f ca="1">IFERROR(__xludf.DUMMYFUNCTION("""COMPUTED_VALUE"""),"Bayegan Pendik")</f>
        <v>Bayegan Pendik</v>
      </c>
      <c r="M523" s="16" t="str">
        <f ca="1">IFERROR(__xludf.DUMMYFUNCTION("""COMPUTED_VALUE"""),"TUR")</f>
        <v>TUR</v>
      </c>
      <c r="N523" s="16" t="str">
        <f ca="1">IFERROR(__xludf.DUMMYFUNCTION("""COMPUTED_VALUE"""),"Tonanti")</f>
        <v>Tonanti</v>
      </c>
      <c r="O523" s="8"/>
      <c r="P523" s="8">
        <f ca="1">IFERROR(__xludf.DUMMYFUNCTION("""COMPUTED_VALUE"""),108)</f>
        <v>108</v>
      </c>
      <c r="Q523" s="8">
        <f ca="1">IFERROR(__xludf.DUMMYFUNCTION("""COMPUTED_VALUE"""),8)</f>
        <v>8</v>
      </c>
      <c r="R523" s="8">
        <f ca="1">IFERROR(__xludf.DUMMYFUNCTION("""COMPUTED_VALUE"""),864)</f>
        <v>864</v>
      </c>
      <c r="S523" s="8">
        <f ca="1">IFERROR(__xludf.DUMMYFUNCTION("""COMPUTED_VALUE"""),12.8)</f>
        <v>12.8</v>
      </c>
      <c r="T523" s="8">
        <f ca="1">IFERROR(__xludf.DUMMYFUNCTION("""COMPUTED_VALUE"""),876.8)</f>
        <v>876.8</v>
      </c>
      <c r="U523" s="8"/>
      <c r="V523" s="8"/>
      <c r="W523" s="8"/>
      <c r="X523" s="8"/>
      <c r="Y523" s="8"/>
      <c r="Z523" s="37" t="str">
        <f ca="1">IFERROR(__xludf.DUMMYFUNCTION("""COMPUTED_VALUE"""),"TK 1080")</f>
        <v>TK 1080</v>
      </c>
      <c r="AA523" s="37" t="str">
        <f ca="1">IFERROR(__xludf.DUMMYFUNCTION("""COMPUTED_VALUE"""),"27/10/2024")</f>
        <v>27/10/2024</v>
      </c>
      <c r="AB523" s="65"/>
    </row>
    <row r="524" spans="1:28" ht="14.55" customHeight="1" x14ac:dyDescent="0.3">
      <c r="A524" s="8"/>
      <c r="B524" s="8"/>
      <c r="C524" s="8"/>
      <c r="D524" s="8" t="str">
        <f ca="1">IFERROR(__xludf.DUMMYFUNCTION("""COMPUTED_VALUE"""),"15/08/2024")</f>
        <v>15/08/2024</v>
      </c>
      <c r="E524" s="16" t="s">
        <v>0</v>
      </c>
      <c r="F524" s="8" t="str">
        <f ca="1">IFERROR(__xludf.DUMMYFUNCTION("""COMPUTED_VALUE"""),"Akkaya, Ilhan")</f>
        <v>Akkaya, Ilhan</v>
      </c>
      <c r="G524" s="16" t="str">
        <f ca="1">IFERROR(__xludf.DUMMYFUNCTION("""COMPUTED_VALUE"""),"TUR")</f>
        <v>TUR</v>
      </c>
      <c r="H524" s="8"/>
      <c r="I524" s="8">
        <f ca="1">IFERROR(__xludf.DUMMYFUNCTION("""COMPUTED_VALUE"""),100)</f>
        <v>100</v>
      </c>
      <c r="J524" s="8"/>
      <c r="K524" s="8"/>
      <c r="L524" s="8" t="str">
        <f ca="1">IFERROR(__xludf.DUMMYFUNCTION("""COMPUTED_VALUE"""),"Bayegan Pendik")</f>
        <v>Bayegan Pendik</v>
      </c>
      <c r="M524" s="16" t="str">
        <f ca="1">IFERROR(__xludf.DUMMYFUNCTION("""COMPUTED_VALUE"""),"TUR")</f>
        <v>TUR</v>
      </c>
      <c r="N524" s="16" t="str">
        <f ca="1">IFERROR(__xludf.DUMMYFUNCTION("""COMPUTED_VALUE"""),"Tonanti")</f>
        <v>Tonanti</v>
      </c>
      <c r="O524" s="8"/>
      <c r="P524" s="8">
        <f ca="1">IFERROR(__xludf.DUMMYFUNCTION("""COMPUTED_VALUE"""),108)</f>
        <v>108</v>
      </c>
      <c r="Q524" s="8">
        <f ca="1">IFERROR(__xludf.DUMMYFUNCTION("""COMPUTED_VALUE"""),8)</f>
        <v>8</v>
      </c>
      <c r="R524" s="8">
        <f ca="1">IFERROR(__xludf.DUMMYFUNCTION("""COMPUTED_VALUE"""),864)</f>
        <v>864</v>
      </c>
      <c r="S524" s="8">
        <f ca="1">IFERROR(__xludf.DUMMYFUNCTION("""COMPUTED_VALUE"""),12.8)</f>
        <v>12.8</v>
      </c>
      <c r="T524" s="8">
        <f ca="1">IFERROR(__xludf.DUMMYFUNCTION("""COMPUTED_VALUE"""),876.8)</f>
        <v>876.8</v>
      </c>
      <c r="U524" s="8"/>
      <c r="V524" s="8"/>
      <c r="W524" s="8"/>
      <c r="X524" s="8"/>
      <c r="Y524" s="8"/>
      <c r="Z524" s="37"/>
      <c r="AA524" s="37" t="str">
        <f ca="1">IFERROR(__xludf.DUMMYFUNCTION("""COMPUTED_VALUE"""),"27/10/2024")</f>
        <v>27/10/2024</v>
      </c>
      <c r="AB524" s="65"/>
    </row>
    <row r="525" spans="1:28" ht="14.55" customHeight="1" x14ac:dyDescent="0.3">
      <c r="A525" s="8"/>
      <c r="B525" s="8"/>
      <c r="C525" s="8"/>
      <c r="D525" s="8" t="str">
        <f ca="1">IFERROR(__xludf.DUMMYFUNCTION("""COMPUTED_VALUE"""),"15/08/2024")</f>
        <v>15/08/2024</v>
      </c>
      <c r="E525" s="16" t="s">
        <v>0</v>
      </c>
      <c r="F525" s="8" t="str">
        <f ca="1">IFERROR(__xludf.DUMMYFUNCTION("""COMPUTED_VALUE"""),"Aktan, Ahmet")</f>
        <v>Aktan, Ahmet</v>
      </c>
      <c r="G525" s="16" t="str">
        <f ca="1">IFERROR(__xludf.DUMMYFUNCTION("""COMPUTED_VALUE"""),"TUR")</f>
        <v>TUR</v>
      </c>
      <c r="H525" s="8"/>
      <c r="I525" s="8">
        <f ca="1">IFERROR(__xludf.DUMMYFUNCTION("""COMPUTED_VALUE"""),100)</f>
        <v>100</v>
      </c>
      <c r="J525" s="8"/>
      <c r="K525" s="8"/>
      <c r="L525" s="8" t="str">
        <f ca="1">IFERROR(__xludf.DUMMYFUNCTION("""COMPUTED_VALUE"""),"Bayegan Pendik")</f>
        <v>Bayegan Pendik</v>
      </c>
      <c r="M525" s="16" t="str">
        <f ca="1">IFERROR(__xludf.DUMMYFUNCTION("""COMPUTED_VALUE"""),"TUR")</f>
        <v>TUR</v>
      </c>
      <c r="N525" s="16" t="str">
        <f ca="1">IFERROR(__xludf.DUMMYFUNCTION("""COMPUTED_VALUE"""),"Tonanti")</f>
        <v>Tonanti</v>
      </c>
      <c r="O525" s="8"/>
      <c r="P525" s="8">
        <f ca="1">IFERROR(__xludf.DUMMYFUNCTION("""COMPUTED_VALUE"""),108)</f>
        <v>108</v>
      </c>
      <c r="Q525" s="8">
        <f ca="1">IFERROR(__xludf.DUMMYFUNCTION("""COMPUTED_VALUE"""),8)</f>
        <v>8</v>
      </c>
      <c r="R525" s="8">
        <f ca="1">IFERROR(__xludf.DUMMYFUNCTION("""COMPUTED_VALUE"""),864)</f>
        <v>864</v>
      </c>
      <c r="S525" s="8">
        <f ca="1">IFERROR(__xludf.DUMMYFUNCTION("""COMPUTED_VALUE"""),12.8)</f>
        <v>12.8</v>
      </c>
      <c r="T525" s="8">
        <f ca="1">IFERROR(__xludf.DUMMYFUNCTION("""COMPUTED_VALUE"""),876.8)</f>
        <v>876.8</v>
      </c>
      <c r="U525" s="8"/>
      <c r="V525" s="8"/>
      <c r="W525" s="8"/>
      <c r="X525" s="8"/>
      <c r="Y525" s="8"/>
      <c r="Z525" s="37"/>
      <c r="AA525" s="37" t="str">
        <f ca="1">IFERROR(__xludf.DUMMYFUNCTION("""COMPUTED_VALUE"""),"27/10/2024")</f>
        <v>27/10/2024</v>
      </c>
      <c r="AB525" s="65"/>
    </row>
    <row r="526" spans="1:28" ht="14.55" customHeight="1" x14ac:dyDescent="0.3">
      <c r="A526" s="8"/>
      <c r="B526" s="8"/>
      <c r="C526" s="8"/>
      <c r="D526" s="8" t="str">
        <f ca="1">IFERROR(__xludf.DUMMYFUNCTION("""COMPUTED_VALUE"""),"27/07/2024")</f>
        <v>27/07/2024</v>
      </c>
      <c r="E526" s="16" t="str">
        <f ca="1">IFERROR(__xludf.DUMMYFUNCTION("""COMPUTED_VALUE"""),"Player")</f>
        <v>Player</v>
      </c>
      <c r="F526" s="8" t="str">
        <f ca="1">IFERROR(__xludf.DUMMYFUNCTION("""COMPUTED_VALUE"""),"Dardha, Daniel")</f>
        <v>Dardha, Daniel</v>
      </c>
      <c r="G526" s="16" t="str">
        <f ca="1">IFERROR(__xludf.DUMMYFUNCTION("""COMPUTED_VALUE"""),"BEL")</f>
        <v>BEL</v>
      </c>
      <c r="H526" s="8"/>
      <c r="I526" s="8">
        <f ca="1">IFERROR(__xludf.DUMMYFUNCTION("""COMPUTED_VALUE"""),100)</f>
        <v>100</v>
      </c>
      <c r="J526" s="8"/>
      <c r="K526" s="8"/>
      <c r="L526" s="8" t="str">
        <f ca="1">IFERROR(__xludf.DUMMYFUNCTION("""COMPUTED_VALUE"""),"C'Chartres Echecs")</f>
        <v>C'Chartres Echecs</v>
      </c>
      <c r="M526" s="16" t="str">
        <f ca="1">IFERROR(__xludf.DUMMYFUNCTION("""COMPUTED_VALUE"""),"FRA")</f>
        <v>FRA</v>
      </c>
      <c r="N526" s="16" t="str">
        <f ca="1">IFERROR(__xludf.DUMMYFUNCTION("""COMPUTED_VALUE"""),"Zepter")</f>
        <v>Zepter</v>
      </c>
      <c r="O526" s="8"/>
      <c r="P526" s="8">
        <f ca="1">IFERROR(__xludf.DUMMYFUNCTION("""COMPUTED_VALUE"""),104)</f>
        <v>104</v>
      </c>
      <c r="Q526" s="8">
        <f ca="1">IFERROR(__xludf.DUMMYFUNCTION("""COMPUTED_VALUE"""),9)</f>
        <v>9</v>
      </c>
      <c r="R526" s="8">
        <f ca="1">IFERROR(__xludf.DUMMYFUNCTION("""COMPUTED_VALUE"""),936)</f>
        <v>936</v>
      </c>
      <c r="S526" s="8">
        <f ca="1">IFERROR(__xludf.DUMMYFUNCTION("""COMPUTED_VALUE"""),14.4)</f>
        <v>14.4</v>
      </c>
      <c r="T526" s="8">
        <f ca="1">IFERROR(__xludf.DUMMYFUNCTION("""COMPUTED_VALUE"""),950.4)</f>
        <v>950.4</v>
      </c>
      <c r="U526" s="8"/>
      <c r="V526" s="8"/>
      <c r="W526" s="8"/>
      <c r="X526" s="8"/>
      <c r="Y526" s="8"/>
      <c r="Z526" s="37"/>
      <c r="AA526" s="37" t="str">
        <f ca="1">IFERROR(__xludf.DUMMYFUNCTION("""COMPUTED_VALUE"""),"27/10/2024")</f>
        <v>27/10/2024</v>
      </c>
      <c r="AB526" s="65"/>
    </row>
    <row r="527" spans="1:28" ht="14.55" customHeight="1" x14ac:dyDescent="0.3">
      <c r="A527" s="8"/>
      <c r="B527" s="8"/>
      <c r="C527" s="8"/>
      <c r="D527" s="8" t="str">
        <f ca="1">IFERROR(__xludf.DUMMYFUNCTION("""COMPUTED_VALUE"""),"27/07/2024")</f>
        <v>27/07/2024</v>
      </c>
      <c r="E527" s="16" t="str">
        <f ca="1">IFERROR(__xludf.DUMMYFUNCTION("""COMPUTED_VALUE"""),"Player")</f>
        <v>Player</v>
      </c>
      <c r="F527" s="8" t="str">
        <f ca="1">IFERROR(__xludf.DUMMYFUNCTION("""COMPUTED_VALUE"""),"Bauer, Christian")</f>
        <v>Bauer, Christian</v>
      </c>
      <c r="G527" s="16" t="str">
        <f ca="1">IFERROR(__xludf.DUMMYFUNCTION("""COMPUTED_VALUE"""),"FRA")</f>
        <v>FRA</v>
      </c>
      <c r="H527" s="8"/>
      <c r="I527" s="8">
        <f ca="1">IFERROR(__xludf.DUMMYFUNCTION("""COMPUTED_VALUE"""),100)</f>
        <v>100</v>
      </c>
      <c r="J527" s="8"/>
      <c r="K527" s="8"/>
      <c r="L527" s="8" t="str">
        <f ca="1">IFERROR(__xludf.DUMMYFUNCTION("""COMPUTED_VALUE"""),"C'Chartres Echecs")</f>
        <v>C'Chartres Echecs</v>
      </c>
      <c r="M527" s="16" t="str">
        <f ca="1">IFERROR(__xludf.DUMMYFUNCTION("""COMPUTED_VALUE"""),"FRA")</f>
        <v>FRA</v>
      </c>
      <c r="N527" s="16" t="str">
        <f ca="1">IFERROR(__xludf.DUMMYFUNCTION("""COMPUTED_VALUE"""),"Zepter")</f>
        <v>Zepter</v>
      </c>
      <c r="O527" s="8"/>
      <c r="P527" s="8">
        <f ca="1">IFERROR(__xludf.DUMMYFUNCTION("""COMPUTED_VALUE"""),104)</f>
        <v>104</v>
      </c>
      <c r="Q527" s="8">
        <f ca="1">IFERROR(__xludf.DUMMYFUNCTION("""COMPUTED_VALUE"""),9)</f>
        <v>9</v>
      </c>
      <c r="R527" s="8">
        <f ca="1">IFERROR(__xludf.DUMMYFUNCTION("""COMPUTED_VALUE"""),936)</f>
        <v>936</v>
      </c>
      <c r="S527" s="8">
        <f ca="1">IFERROR(__xludf.DUMMYFUNCTION("""COMPUTED_VALUE"""),14.4)</f>
        <v>14.4</v>
      </c>
      <c r="T527" s="8">
        <f ca="1">IFERROR(__xludf.DUMMYFUNCTION("""COMPUTED_VALUE"""),950.4)</f>
        <v>950.4</v>
      </c>
      <c r="U527" s="8"/>
      <c r="V527" s="8"/>
      <c r="W527" s="8"/>
      <c r="X527" s="8"/>
      <c r="Y527" s="8"/>
      <c r="Z527" s="37"/>
      <c r="AA527" s="37" t="str">
        <f ca="1">IFERROR(__xludf.DUMMYFUNCTION("""COMPUTED_VALUE"""),"27/10/2024")</f>
        <v>27/10/2024</v>
      </c>
      <c r="AB527" s="65"/>
    </row>
    <row r="528" spans="1:28" ht="14.55" customHeight="1" x14ac:dyDescent="0.3">
      <c r="A528" s="8"/>
      <c r="B528" s="8"/>
      <c r="C528" s="8"/>
      <c r="D528" s="8" t="str">
        <f ca="1">IFERROR(__xludf.DUMMYFUNCTION("""COMPUTED_VALUE"""),"28/07/2024")</f>
        <v>28/07/2024</v>
      </c>
      <c r="E528" s="16" t="str">
        <f ca="1">IFERROR(__xludf.DUMMYFUNCTION("""COMPUTED_VALUE"""),"Player")</f>
        <v>Player</v>
      </c>
      <c r="F528" s="8" t="str">
        <f ca="1">IFERROR(__xludf.DUMMYFUNCTION("""COMPUTED_VALUE"""),"Neagu, Roberto Florin")</f>
        <v>Neagu, Roberto Florin</v>
      </c>
      <c r="G528" s="16" t="str">
        <f ca="1">IFERROR(__xludf.DUMMYFUNCTION("""COMPUTED_VALUE"""),"ESP")</f>
        <v>ESP</v>
      </c>
      <c r="H528" s="8"/>
      <c r="I528" s="8">
        <f ca="1">IFERROR(__xludf.DUMMYFUNCTION("""COMPUTED_VALUE"""),100)</f>
        <v>100</v>
      </c>
      <c r="J528" s="8"/>
      <c r="K528" s="8"/>
      <c r="L528" s="8" t="str">
        <f ca="1">IFERROR(__xludf.DUMMYFUNCTION("""COMPUTED_VALUE"""),"Diagonal Alcorcon")</f>
        <v>Diagonal Alcorcon</v>
      </c>
      <c r="M528" s="16" t="str">
        <f ca="1">IFERROR(__xludf.DUMMYFUNCTION("""COMPUTED_VALUE"""),"ESP")</f>
        <v>ESP</v>
      </c>
      <c r="N528" s="16" t="str">
        <f ca="1">IFERROR(__xludf.DUMMYFUNCTION("""COMPUTED_VALUE"""),"Zepter")</f>
        <v>Zepter</v>
      </c>
      <c r="O528" s="8" t="str">
        <f ca="1">IFERROR(__xludf.DUMMYFUNCTION("""COMPUTED_VALUE"""),"TONCHEVA")</f>
        <v>TONCHEVA</v>
      </c>
      <c r="P528" s="8"/>
      <c r="Q528" s="8"/>
      <c r="R528" s="8">
        <f ca="1">IFERROR(__xludf.DUMMYFUNCTION("""COMPUTED_VALUE"""),0)</f>
        <v>0</v>
      </c>
      <c r="S528" s="8">
        <f ca="1">IFERROR(__xludf.DUMMYFUNCTION("""COMPUTED_VALUE"""),0)</f>
        <v>0</v>
      </c>
      <c r="T528" s="8">
        <f ca="1">IFERROR(__xludf.DUMMYFUNCTION("""COMPUTED_VALUE"""),0)</f>
        <v>0</v>
      </c>
      <c r="U528" s="8"/>
      <c r="V528" s="8"/>
      <c r="W528" s="8"/>
      <c r="X528" s="8"/>
      <c r="Y528" s="8"/>
      <c r="Z528" s="37"/>
      <c r="AA528" s="37" t="str">
        <f ca="1">IFERROR(__xludf.DUMMYFUNCTION("""COMPUTED_VALUE"""),"27/10/2024")</f>
        <v>27/10/2024</v>
      </c>
      <c r="AB528" s="65"/>
    </row>
    <row r="529" spans="1:28" ht="14.55" customHeight="1" x14ac:dyDescent="0.3">
      <c r="A529" s="8"/>
      <c r="B529" s="8"/>
      <c r="C529" s="8"/>
      <c r="D529" s="13">
        <f ca="1">IFERROR(__xludf.DUMMYFUNCTION("""COMPUTED_VALUE"""),45481)</f>
        <v>45481</v>
      </c>
      <c r="E529" s="16" t="str">
        <f ca="1">IFERROR(__xludf.DUMMYFUNCTION("""COMPUTED_VALUE"""),"Player")</f>
        <v>Player</v>
      </c>
      <c r="F529" s="8" t="str">
        <f ca="1">IFERROR(__xludf.DUMMYFUNCTION("""COMPUTED_VALUE"""),"Tsolakidou, Stavroula")</f>
        <v>Tsolakidou, Stavroula</v>
      </c>
      <c r="G529" s="8" t="str">
        <f ca="1">IFERROR(__xludf.DUMMYFUNCTION("""COMPUTED_VALUE"""),"GRE")</f>
        <v>GRE</v>
      </c>
      <c r="H529" s="8"/>
      <c r="I529" s="8">
        <f ca="1">IFERROR(__xludf.DUMMYFUNCTION("""COMPUTED_VALUE"""),100)</f>
        <v>100</v>
      </c>
      <c r="J529" s="8"/>
      <c r="K529" s="8"/>
      <c r="L529" s="8" t="str">
        <f ca="1">IFERROR(__xludf.DUMMYFUNCTION("""COMPUTED_VALUE"""),"MSK CENTAR")</f>
        <v>MSK CENTAR</v>
      </c>
      <c r="M529" s="16" t="str">
        <f ca="1">IFERROR(__xludf.DUMMYFUNCTION("""COMPUTED_VALUE"""),"MKD")</f>
        <v>MKD</v>
      </c>
      <c r="N529" s="16" t="str">
        <f ca="1">IFERROR(__xludf.DUMMYFUNCTION("""COMPUTED_VALUE"""),"Terme")</f>
        <v>Terme</v>
      </c>
      <c r="O529" s="8" t="str">
        <f ca="1">IFERROR(__xludf.DUMMYFUNCTION("""COMPUTED_VALUE"""),"Double")</f>
        <v>Double</v>
      </c>
      <c r="P529" s="8" t="str">
        <f ca="1">IFERROR(__xludf.DUMMYFUNCTION("""COMPUTED_VALUE"""),"Narva, Mai")</f>
        <v>Narva, Mai</v>
      </c>
      <c r="Q529" s="8">
        <f ca="1">IFERROR(__xludf.DUMMYFUNCTION("""COMPUTED_VALUE"""),8)</f>
        <v>8</v>
      </c>
      <c r="R529" s="8">
        <f ca="1">IFERROR(__xludf.DUMMYFUNCTION("""COMPUTED_VALUE"""),656)</f>
        <v>656</v>
      </c>
      <c r="S529" s="8">
        <f ca="1">IFERROR(__xludf.DUMMYFUNCTION("""COMPUTED_VALUE"""),12.8)</f>
        <v>12.8</v>
      </c>
      <c r="T529" s="8">
        <f ca="1">IFERROR(__xludf.DUMMYFUNCTION("""COMPUTED_VALUE"""),668.8)</f>
        <v>668.8</v>
      </c>
      <c r="U529" s="8"/>
      <c r="V529" s="8"/>
      <c r="W529" s="8"/>
      <c r="X529" s="8"/>
      <c r="Y529" s="8"/>
      <c r="Z529" s="37"/>
      <c r="AA529" s="37"/>
      <c r="AB529" s="65"/>
    </row>
    <row r="530" spans="1:28" ht="14.55" customHeight="1" x14ac:dyDescent="0.3">
      <c r="A530" s="8"/>
      <c r="B530" s="8"/>
      <c r="C530" s="8"/>
      <c r="D530" s="13">
        <f ca="1">IFERROR(__xludf.DUMMYFUNCTION("""COMPUTED_VALUE"""),45481)</f>
        <v>45481</v>
      </c>
      <c r="E530" s="16" t="str">
        <f ca="1">IFERROR(__xludf.DUMMYFUNCTION("""COMPUTED_VALUE"""),"Player")</f>
        <v>Player</v>
      </c>
      <c r="F530" s="8" t="str">
        <f ca="1">IFERROR(__xludf.DUMMYFUNCTION("""COMPUTED_VALUE"""),"Narva, Mai")</f>
        <v>Narva, Mai</v>
      </c>
      <c r="G530" s="8" t="str">
        <f ca="1">IFERROR(__xludf.DUMMYFUNCTION("""COMPUTED_VALUE"""),"EST")</f>
        <v>EST</v>
      </c>
      <c r="H530" s="8"/>
      <c r="I530" s="8">
        <f ca="1">IFERROR(__xludf.DUMMYFUNCTION("""COMPUTED_VALUE"""),100)</f>
        <v>100</v>
      </c>
      <c r="J530" s="8"/>
      <c r="K530" s="8"/>
      <c r="L530" s="8" t="str">
        <f ca="1">IFERROR(__xludf.DUMMYFUNCTION("""COMPUTED_VALUE"""),"MSK CENTAR")</f>
        <v>MSK CENTAR</v>
      </c>
      <c r="M530" s="16" t="str">
        <f ca="1">IFERROR(__xludf.DUMMYFUNCTION("""COMPUTED_VALUE"""),"MKD")</f>
        <v>MKD</v>
      </c>
      <c r="N530" s="16" t="str">
        <f ca="1">IFERROR(__xludf.DUMMYFUNCTION("""COMPUTED_VALUE"""),"Terme")</f>
        <v>Terme</v>
      </c>
      <c r="O530" s="8" t="str">
        <f ca="1">IFERROR(__xludf.DUMMYFUNCTION("""COMPUTED_VALUE"""),"Double")</f>
        <v>Double</v>
      </c>
      <c r="P530" s="8" t="str">
        <f ca="1">IFERROR(__xludf.DUMMYFUNCTION("""COMPUTED_VALUE"""),"Tsolakidou, Stavroula")</f>
        <v>Tsolakidou, Stavroula</v>
      </c>
      <c r="Q530" s="8">
        <f ca="1">IFERROR(__xludf.DUMMYFUNCTION("""COMPUTED_VALUE"""),8)</f>
        <v>8</v>
      </c>
      <c r="R530" s="8">
        <f ca="1">IFERROR(__xludf.DUMMYFUNCTION("""COMPUTED_VALUE"""),656)</f>
        <v>656</v>
      </c>
      <c r="S530" s="8">
        <f ca="1">IFERROR(__xludf.DUMMYFUNCTION("""COMPUTED_VALUE"""),12.8)</f>
        <v>12.8</v>
      </c>
      <c r="T530" s="8">
        <f ca="1">IFERROR(__xludf.DUMMYFUNCTION("""COMPUTED_VALUE"""),668.8)</f>
        <v>668.8</v>
      </c>
      <c r="U530" s="8"/>
      <c r="V530" s="8"/>
      <c r="W530" s="8"/>
      <c r="X530" s="8"/>
      <c r="Y530" s="8"/>
      <c r="Z530" s="37"/>
      <c r="AA530" s="37"/>
      <c r="AB530" s="65"/>
    </row>
    <row r="531" spans="1:28" ht="14.55" customHeight="1" x14ac:dyDescent="0.3">
      <c r="A531" s="8"/>
      <c r="B531" s="8"/>
      <c r="C531" s="8"/>
      <c r="D531" s="8" t="str">
        <f ca="1">IFERROR(__xludf.DUMMYFUNCTION("""COMPUTED_VALUE"""),"15/08/2024")</f>
        <v>15/08/2024</v>
      </c>
      <c r="E531" s="16" t="str">
        <f ca="1">IFERROR(__xludf.DUMMYFUNCTION("""COMPUTED_VALUE"""),"Player")</f>
        <v>Player</v>
      </c>
      <c r="F531" s="8" t="str">
        <f ca="1">IFERROR(__xludf.DUMMYFUNCTION("""COMPUTED_VALUE"""),"Vollbehr, Bjarne")</f>
        <v>Vollbehr, Bjarne</v>
      </c>
      <c r="G531" s="16" t="str">
        <f ca="1">IFERROR(__xludf.DUMMYFUNCTION("""COMPUTED_VALUE"""),"GER")</f>
        <v>GER</v>
      </c>
      <c r="H531" s="8"/>
      <c r="I531" s="8">
        <f ca="1">IFERROR(__xludf.DUMMYFUNCTION("""COMPUTED_VALUE"""),100)</f>
        <v>100</v>
      </c>
      <c r="J531" s="8"/>
      <c r="K531" s="8"/>
      <c r="L531" s="8" t="str">
        <f ca="1">IFERROR(__xludf.DUMMYFUNCTION("""COMPUTED_VALUE"""),"SK Doppelbauer Kiel")</f>
        <v>SK Doppelbauer Kiel</v>
      </c>
      <c r="M531" s="16" t="str">
        <f ca="1">IFERROR(__xludf.DUMMYFUNCTION("""COMPUTED_VALUE"""),"GER")</f>
        <v>GER</v>
      </c>
      <c r="N531" s="16" t="str">
        <f ca="1">IFERROR(__xludf.DUMMYFUNCTION("""COMPUTED_VALUE"""),"Tonanti")</f>
        <v>Tonanti</v>
      </c>
      <c r="O531" s="8" t="str">
        <f ca="1">IFERROR(__xludf.DUMMYFUNCTION("""COMPUTED_VALUE"""),"Petersen, Finn Christopher")</f>
        <v>Petersen, Finn Christopher</v>
      </c>
      <c r="P531" s="8">
        <f ca="1">IFERROR(__xludf.DUMMYFUNCTION("""COMPUTED_VALUE"""),84)</f>
        <v>84</v>
      </c>
      <c r="Q531" s="8">
        <f ca="1">IFERROR(__xludf.DUMMYFUNCTION("""COMPUTED_VALUE"""),8)</f>
        <v>8</v>
      </c>
      <c r="R531" s="8">
        <f ca="1">IFERROR(__xludf.DUMMYFUNCTION("""COMPUTED_VALUE"""),672)</f>
        <v>672</v>
      </c>
      <c r="S531" s="8">
        <f ca="1">IFERROR(__xludf.DUMMYFUNCTION("""COMPUTED_VALUE"""),12.8)</f>
        <v>12.8</v>
      </c>
      <c r="T531" s="8">
        <f ca="1">IFERROR(__xludf.DUMMYFUNCTION("""COMPUTED_VALUE"""),684.8)</f>
        <v>684.8</v>
      </c>
      <c r="U531" s="8"/>
      <c r="V531" s="8"/>
      <c r="W531" s="8"/>
      <c r="X531" s="8"/>
      <c r="Y531" s="8"/>
      <c r="Z531" s="37"/>
      <c r="AA531" s="37" t="str">
        <f ca="1">IFERROR(__xludf.DUMMYFUNCTION("""COMPUTED_VALUE"""),"27/10/2024")</f>
        <v>27/10/2024</v>
      </c>
      <c r="AB531" s="65"/>
    </row>
    <row r="532" spans="1:28" ht="14.55" customHeight="1" x14ac:dyDescent="0.3">
      <c r="A532" s="8"/>
      <c r="B532" s="8"/>
      <c r="C532" s="8"/>
      <c r="D532" s="8" t="str">
        <f ca="1">IFERROR(__xludf.DUMMYFUNCTION("""COMPUTED_VALUE"""),"15/08/2024")</f>
        <v>15/08/2024</v>
      </c>
      <c r="E532" s="16" t="str">
        <f ca="1">IFERROR(__xludf.DUMMYFUNCTION("""COMPUTED_VALUE"""),"Player")</f>
        <v>Player</v>
      </c>
      <c r="F532" s="8" t="str">
        <f ca="1">IFERROR(__xludf.DUMMYFUNCTION("""COMPUTED_VALUE"""),"Petersen, Finn Christopher")</f>
        <v>Petersen, Finn Christopher</v>
      </c>
      <c r="G532" s="16" t="str">
        <f ca="1">IFERROR(__xludf.DUMMYFUNCTION("""COMPUTED_VALUE"""),"GER")</f>
        <v>GER</v>
      </c>
      <c r="H532" s="8"/>
      <c r="I532" s="8">
        <f ca="1">IFERROR(__xludf.DUMMYFUNCTION("""COMPUTED_VALUE"""),100)</f>
        <v>100</v>
      </c>
      <c r="J532" s="8"/>
      <c r="K532" s="8"/>
      <c r="L532" s="8" t="str">
        <f ca="1">IFERROR(__xludf.DUMMYFUNCTION("""COMPUTED_VALUE"""),"SK Doppelbauer Kiel")</f>
        <v>SK Doppelbauer Kiel</v>
      </c>
      <c r="M532" s="16" t="str">
        <f ca="1">IFERROR(__xludf.DUMMYFUNCTION("""COMPUTED_VALUE"""),"GER")</f>
        <v>GER</v>
      </c>
      <c r="N532" s="16" t="str">
        <f ca="1">IFERROR(__xludf.DUMMYFUNCTION("""COMPUTED_VALUE"""),"Tonanti")</f>
        <v>Tonanti</v>
      </c>
      <c r="O532" s="8" t="str">
        <f ca="1">IFERROR(__xludf.DUMMYFUNCTION("""COMPUTED_VALUE"""),"Vollbehr, Bjarne")</f>
        <v>Vollbehr, Bjarne</v>
      </c>
      <c r="P532" s="8">
        <f ca="1">IFERROR(__xludf.DUMMYFUNCTION("""COMPUTED_VALUE"""),84)</f>
        <v>84</v>
      </c>
      <c r="Q532" s="8">
        <f ca="1">IFERROR(__xludf.DUMMYFUNCTION("""COMPUTED_VALUE"""),8)</f>
        <v>8</v>
      </c>
      <c r="R532" s="8">
        <f ca="1">IFERROR(__xludf.DUMMYFUNCTION("""COMPUTED_VALUE"""),672)</f>
        <v>672</v>
      </c>
      <c r="S532" s="8">
        <f ca="1">IFERROR(__xludf.DUMMYFUNCTION("""COMPUTED_VALUE"""),12.8)</f>
        <v>12.8</v>
      </c>
      <c r="T532" s="8">
        <f ca="1">IFERROR(__xludf.DUMMYFUNCTION("""COMPUTED_VALUE"""),684.8)</f>
        <v>684.8</v>
      </c>
      <c r="U532" s="8"/>
      <c r="V532" s="8"/>
      <c r="W532" s="8"/>
      <c r="X532" s="8"/>
      <c r="Y532" s="8"/>
      <c r="Z532" s="37"/>
      <c r="AA532" s="37" t="str">
        <f ca="1">IFERROR(__xludf.DUMMYFUNCTION("""COMPUTED_VALUE"""),"27/10/2024")</f>
        <v>27/10/2024</v>
      </c>
      <c r="AB532" s="65"/>
    </row>
    <row r="533" spans="1:28" ht="14.55" customHeight="1" x14ac:dyDescent="0.3">
      <c r="A533" s="8"/>
      <c r="B533" s="8"/>
      <c r="C533" s="8"/>
      <c r="D533" s="8" t="str">
        <f ca="1">IFERROR(__xludf.DUMMYFUNCTION("""COMPUTED_VALUE"""),"31/07/2024")</f>
        <v>31/07/2024</v>
      </c>
      <c r="E533" s="16" t="str">
        <f ca="1">IFERROR(__xludf.DUMMYFUNCTION("""COMPUTED_VALUE"""),"Player")</f>
        <v>Player</v>
      </c>
      <c r="F533" s="8" t="str">
        <f ca="1">IFERROR(__xludf.DUMMYFUNCTION("""COMPUTED_VALUE"""),"Holland, James P")</f>
        <v>Holland, James P</v>
      </c>
      <c r="G533" s="16" t="str">
        <f ca="1">IFERROR(__xludf.DUMMYFUNCTION("""COMPUTED_VALUE"""),"ENG")</f>
        <v>ENG</v>
      </c>
      <c r="H533" s="8"/>
      <c r="I533" s="8">
        <f ca="1">IFERROR(__xludf.DUMMYFUNCTION("""COMPUTED_VALUE"""),100)</f>
        <v>100</v>
      </c>
      <c r="J533" s="8"/>
      <c r="K533" s="8"/>
      <c r="L533" s="8" t="str">
        <f ca="1">IFERROR(__xludf.DUMMYFUNCTION("""COMPUTED_VALUE"""),"The Sharks")</f>
        <v>The Sharks</v>
      </c>
      <c r="M533" s="16" t="str">
        <f ca="1">IFERROR(__xludf.DUMMYFUNCTION("""COMPUTED_VALUE"""),"ENG")</f>
        <v>ENG</v>
      </c>
      <c r="N533" s="16" t="str">
        <f ca="1">IFERROR(__xludf.DUMMYFUNCTION("""COMPUTED_VALUE"""),"Fontana")</f>
        <v>Fontana</v>
      </c>
      <c r="O533" s="8"/>
      <c r="P533" s="8">
        <f ca="1">IFERROR(__xludf.DUMMYFUNCTION("""COMPUTED_VALUE"""),104)</f>
        <v>104</v>
      </c>
      <c r="Q533" s="8">
        <f ca="1">IFERROR(__xludf.DUMMYFUNCTION("""COMPUTED_VALUE"""),8)</f>
        <v>8</v>
      </c>
      <c r="R533" s="8">
        <f ca="1">IFERROR(__xludf.DUMMYFUNCTION("""COMPUTED_VALUE"""),832)</f>
        <v>832</v>
      </c>
      <c r="S533" s="8">
        <f ca="1">IFERROR(__xludf.DUMMYFUNCTION("""COMPUTED_VALUE"""),12.8)</f>
        <v>12.8</v>
      </c>
      <c r="T533" s="8">
        <f ca="1">IFERROR(__xludf.DUMMYFUNCTION("""COMPUTED_VALUE"""),844.8)</f>
        <v>844.8</v>
      </c>
      <c r="U533" s="8"/>
      <c r="V533" s="8"/>
      <c r="W533" s="8"/>
      <c r="X533" s="8"/>
      <c r="Y533" s="8"/>
      <c r="Z533" s="37"/>
      <c r="AA533" s="37" t="str">
        <f ca="1">IFERROR(__xludf.DUMMYFUNCTION("""COMPUTED_VALUE"""),"27/10/2024")</f>
        <v>27/10/2024</v>
      </c>
      <c r="AB533" s="64"/>
    </row>
    <row r="534" spans="1:28" ht="14.55" customHeight="1" x14ac:dyDescent="0.3">
      <c r="A534" s="40"/>
      <c r="B534" s="40"/>
      <c r="C534" s="40"/>
      <c r="D534" s="40" t="str">
        <f ca="1">IFERROR(__xludf.DUMMYFUNCTION("""COMPUTED_VALUE"""),"15/08/2024")</f>
        <v>15/08/2024</v>
      </c>
      <c r="E534" s="41" t="str">
        <f ca="1">IFERROR(__xludf.DUMMYFUNCTION("""COMPUTED_VALUE"""),"Player")</f>
        <v>Player</v>
      </c>
      <c r="F534" s="40" t="str">
        <f ca="1">IFERROR(__xludf.DUMMYFUNCTION("""COMPUTED_VALUE"""),"Andreikin, Dmitry")</f>
        <v>Andreikin, Dmitry</v>
      </c>
      <c r="G534" s="41" t="str">
        <f ca="1">IFERROR(__xludf.DUMMYFUNCTION("""COMPUTED_VALUE"""),"FID")</f>
        <v>FID</v>
      </c>
      <c r="H534" s="40"/>
      <c r="I534" s="40">
        <f ca="1">IFERROR(__xludf.DUMMYFUNCTION("""COMPUTED_VALUE"""),100)</f>
        <v>100</v>
      </c>
      <c r="J534" s="40"/>
      <c r="K534" s="40"/>
      <c r="L534" s="40" t="str">
        <f ca="1">IFERROR(__xludf.DUMMYFUNCTION("""COMPUTED_VALUE"""),"Turkish Airlines")</f>
        <v>Turkish Airlines</v>
      </c>
      <c r="M534" s="41" t="str">
        <f ca="1">IFERROR(__xludf.DUMMYFUNCTION("""COMPUTED_VALUE"""),"TUR")</f>
        <v>TUR</v>
      </c>
      <c r="N534" s="41" t="str">
        <f ca="1">IFERROR(__xludf.DUMMYFUNCTION("""COMPUTED_VALUE"""),"Terme")</f>
        <v>Terme</v>
      </c>
      <c r="O534" s="40"/>
      <c r="P534" s="40">
        <f ca="1">IFERROR(__xludf.DUMMYFUNCTION("""COMPUTED_VALUE"""),104)</f>
        <v>104</v>
      </c>
      <c r="Q534" s="40">
        <f ca="1">IFERROR(__xludf.DUMMYFUNCTION("""COMPUTED_VALUE"""),8)</f>
        <v>8</v>
      </c>
      <c r="R534" s="40">
        <f ca="1">IFERROR(__xludf.DUMMYFUNCTION("""COMPUTED_VALUE"""),832)</f>
        <v>832</v>
      </c>
      <c r="S534" s="40">
        <f ca="1">IFERROR(__xludf.DUMMYFUNCTION("""COMPUTED_VALUE"""),12.8)</f>
        <v>12.8</v>
      </c>
      <c r="T534" s="40">
        <f ca="1">IFERROR(__xludf.DUMMYFUNCTION("""COMPUTED_VALUE"""),844.8)</f>
        <v>844.8</v>
      </c>
      <c r="U534" s="40"/>
      <c r="V534" s="40"/>
      <c r="W534" s="40"/>
      <c r="X534" s="40"/>
      <c r="Y534" s="40"/>
      <c r="Z534" s="55" t="s">
        <v>46</v>
      </c>
      <c r="AA534" s="55"/>
      <c r="AB534" s="66"/>
    </row>
  </sheetData>
  <autoFilter ref="A1:AB534" xr:uid="{00000000-0001-0000-0000-000000000000}"/>
  <sortState xmlns:xlrd2="http://schemas.microsoft.com/office/spreadsheetml/2017/richdata2" ref="A2:AB534">
    <sortCondition ref="AB3:AB534"/>
    <sortCondition ref="L3:L534"/>
  </sortState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AJ737"/>
  <sheetViews>
    <sheetView topLeftCell="A86" workbookViewId="0">
      <selection activeCell="A2" sqref="A2:AI110"/>
    </sheetView>
  </sheetViews>
  <sheetFormatPr defaultColWidth="12.5546875" defaultRowHeight="15.75" customHeight="1" x14ac:dyDescent="0.25"/>
  <cols>
    <col min="1" max="1" width="4.88671875" customWidth="1"/>
    <col min="2" max="4" width="9" hidden="1" customWidth="1"/>
    <col min="5" max="5" width="9" style="18" customWidth="1"/>
    <col min="6" max="6" width="22.6640625" customWidth="1"/>
    <col min="7" max="8" width="6.88671875" customWidth="1"/>
    <col min="9" max="12" width="9" hidden="1" customWidth="1"/>
    <col min="13" max="13" width="18.44140625" customWidth="1"/>
    <col min="14" max="14" width="6.88671875" customWidth="1"/>
    <col min="15" max="15" width="9" customWidth="1"/>
    <col min="16" max="18" width="9" hidden="1" customWidth="1"/>
    <col min="19" max="19" width="10.44140625" customWidth="1"/>
    <col min="20" max="20" width="11.88671875" customWidth="1"/>
    <col min="21" max="29" width="9" hidden="1" customWidth="1"/>
    <col min="30" max="30" width="9" style="18" customWidth="1"/>
    <col min="31" max="31" width="9" customWidth="1"/>
    <col min="32" max="33" width="11.109375" customWidth="1"/>
    <col min="34" max="34" width="11" customWidth="1"/>
    <col min="35" max="35" width="14.33203125" customWidth="1"/>
    <col min="36" max="36" width="9" hidden="1" customWidth="1"/>
  </cols>
  <sheetData>
    <row r="1" spans="1:36" ht="13.2" x14ac:dyDescent="0.25">
      <c r="A1" s="1" t="str">
        <f ca="1">IFERROR(__xludf.DUMMYFUNCTION("IMPORTRANGE(""https://docs.google.com/spreadsheets/d/1R4xZvKoXULnrPjbVjbli9DbrKUkZK0mKxjGkM2akm7s/edit?gid=504372721#gid=504372721"",""WOMEN Accommodation!A:AV"")"),"")</f>
        <v/>
      </c>
      <c r="B1" s="1" t="str">
        <f ca="1">IFERROR(__xludf.DUMMYFUNCTION("""COMPUTED_VALUE"""),"SM")</f>
        <v>SM</v>
      </c>
      <c r="C1" s="1" t="str">
        <f ca="1">IFERROR(__xludf.DUMMYFUNCTION("""COMPUTED_VALUE"""),"SM Comments")</f>
        <v>SM Comments</v>
      </c>
      <c r="D1" s="1" t="str">
        <f ca="1">IFERROR(__xludf.DUMMYFUNCTION("""COMPUTED_VALUE"""),"Reg Date")</f>
        <v>Reg Date</v>
      </c>
      <c r="E1" s="22" t="str">
        <f ca="1">IFERROR(__xludf.DUMMYFUNCTION("""COMPUTED_VALUE"""),"Role")</f>
        <v>Role</v>
      </c>
      <c r="F1" s="1" t="str">
        <f ca="1">IFERROR(__xludf.DUMMYFUNCTION("""COMPUTED_VALUE"""),"Name")</f>
        <v>Name</v>
      </c>
      <c r="G1" s="1" t="str">
        <f ca="1">IFERROR(__xludf.DUMMYFUNCTION("""COMPUTED_VALUE"""),"FED")</f>
        <v>FED</v>
      </c>
      <c r="H1" s="1" t="str">
        <f ca="1">IFERROR(__xludf.DUMMYFUNCTION("""COMPUTED_VALUE"""),"Title")</f>
        <v>Title</v>
      </c>
      <c r="I1" s="1" t="str">
        <f ca="1">IFERROR(__xludf.DUMMYFUNCTION("""COMPUTED_VALUE"""),"ELO")</f>
        <v>ELO</v>
      </c>
      <c r="J1" s="1" t="str">
        <f ca="1">IFERROR(__xludf.DUMMYFUNCTION("""COMPUTED_VALUE"""),"Fees")</f>
        <v>Fees</v>
      </c>
      <c r="K1" s="1" t="str">
        <f ca="1">IFERROR(__xludf.DUMMYFUNCTION("""COMPUTED_VALUE"""),"Paid")</f>
        <v>Paid</v>
      </c>
      <c r="L1" s="1" t="str">
        <f ca="1">IFERROR(__xludf.DUMMYFUNCTION("""COMPUTED_VALUE"""),"Date")</f>
        <v>Date</v>
      </c>
      <c r="M1" s="1" t="str">
        <f ca="1">IFERROR(__xludf.DUMMYFUNCTION("""COMPUTED_VALUE"""),"CLUB")</f>
        <v>CLUB</v>
      </c>
      <c r="N1" s="1" t="str">
        <f ca="1">IFERROR(__xludf.DUMMYFUNCTION("""COMPUTED_VALUE"""),"Country")</f>
        <v>Country</v>
      </c>
      <c r="O1" s="1" t="str">
        <f ca="1">IFERROR(__xludf.DUMMYFUNCTION("""COMPUTED_VALUE"""),"Accommodation")</f>
        <v>Accommodation</v>
      </c>
      <c r="P1" s="1" t="str">
        <f ca="1">IFERROR(__xludf.DUMMYFUNCTION("""COMPUTED_VALUE"""),"Room")</f>
        <v>Room</v>
      </c>
      <c r="Q1" s="1" t="str">
        <f ca="1">IFERROR(__xludf.DUMMYFUNCTION("""COMPUTED_VALUE"""),"Room mate")</f>
        <v>Room mate</v>
      </c>
      <c r="R1" s="1" t="str">
        <f ca="1">IFERROR(__xludf.DUMMYFUNCTION("""COMPUTED_VALUE"""),"Price")</f>
        <v>Price</v>
      </c>
      <c r="S1" s="1" t="str">
        <f ca="1">IFERROR(__xludf.DUMMYFUNCTION("""COMPUTED_VALUE"""),"Check-In")</f>
        <v>Check-In</v>
      </c>
      <c r="T1" s="1" t="str">
        <f ca="1">IFERROR(__xludf.DUMMYFUNCTION("""COMPUTED_VALUE"""),"Check-Out")</f>
        <v>Check-Out</v>
      </c>
      <c r="U1" s="1" t="str">
        <f ca="1">IFERROR(__xludf.DUMMYFUNCTION("""COMPUTED_VALUE"""),"Nights")</f>
        <v>Nights</v>
      </c>
      <c r="V1" s="1" t="str">
        <f ca="1">IFERROR(__xludf.DUMMYFUNCTION("""COMPUTED_VALUE"""),"Accomm EUR")</f>
        <v>Accomm EUR</v>
      </c>
      <c r="W1" s="1" t="str">
        <f ca="1">IFERROR(__xludf.DUMMYFUNCTION("""COMPUTED_VALUE"""),"Taxеs EUR")</f>
        <v>Taxеs EUR</v>
      </c>
      <c r="X1" s="1" t="str">
        <f ca="1">IFERROR(__xludf.DUMMYFUNCTION("""COMPUTED_VALUE"""),"IN TOTAL (EUR)")</f>
        <v>IN TOTAL (EUR)</v>
      </c>
      <c r="Y1" s="1" t="str">
        <f ca="1">IFERROR(__xludf.DUMMYFUNCTION("""COMPUTED_VALUE"""),"Piad EUR")</f>
        <v>Piad EUR</v>
      </c>
      <c r="Z1" s="1" t="str">
        <f ca="1">IFERROR(__xludf.DUMMYFUNCTION("""COMPUTED_VALUE"""),"Paid Date")</f>
        <v>Paid Date</v>
      </c>
      <c r="AA1" s="1" t="str">
        <f ca="1">IFERROR(__xludf.DUMMYFUNCTION("""COMPUTED_VALUE"""),"Nikica potvrda")</f>
        <v>Nikica potvrda</v>
      </c>
      <c r="AB1" s="1" t="str">
        <f ca="1">IFERROR(__xludf.DUMMYFUNCTION("""COMPUTED_VALUE"""),"Comments")</f>
        <v>Comments</v>
      </c>
      <c r="AC1" s="1"/>
      <c r="AD1" s="33" t="str">
        <f ca="1">IFERROR(__xludf.DUMMYFUNCTION("""COMPUTED_VALUE"""),"Transfer")</f>
        <v>Transfer</v>
      </c>
      <c r="AE1" s="30" t="str">
        <f ca="1">IFERROR(__xludf.DUMMYFUNCTION("""COMPUTED_VALUE"""),"City")</f>
        <v>City</v>
      </c>
      <c r="AF1" s="4" t="s">
        <v>16</v>
      </c>
      <c r="AG1" s="4" t="s">
        <v>17</v>
      </c>
      <c r="AH1" s="4" t="s">
        <v>18</v>
      </c>
      <c r="AI1" s="4" t="s">
        <v>19</v>
      </c>
      <c r="AJ1" s="1" t="str">
        <f ca="1">IFERROR(__xludf.DUMMYFUNCTION("""COMPUTED_VALUE"""),"Comments")</f>
        <v>Comments</v>
      </c>
    </row>
    <row r="2" spans="1:36" ht="14.4" customHeight="1" x14ac:dyDescent="0.25">
      <c r="A2" s="9">
        <f ca="1">IFERROR(__xludf.DUMMYFUNCTION("""COMPUTED_VALUE"""),1)</f>
        <v>1</v>
      </c>
      <c r="B2" s="9"/>
      <c r="C2" s="9"/>
      <c r="D2" s="9"/>
      <c r="E2" s="23" t="str">
        <f ca="1">IFERROR(__xludf.DUMMYFUNCTION("""COMPUTED_VALUE"""),"Player")</f>
        <v>Player</v>
      </c>
      <c r="F2" s="9" t="str">
        <f ca="1">IFERROR(__xludf.DUMMYFUNCTION("""COMPUTED_VALUE"""),"Goryachkina, Aleksandra")</f>
        <v>Goryachkina, Aleksandra</v>
      </c>
      <c r="G2" s="9" t="str">
        <f ca="1">IFERROR(__xludf.DUMMYFUNCTION("""COMPUTED_VALUE"""),"FID")</f>
        <v>FID</v>
      </c>
      <c r="H2" s="9" t="str">
        <f ca="1">IFERROR(__xludf.DUMMYFUNCTION("""COMPUTED_VALUE"""),"GM")</f>
        <v>GM</v>
      </c>
      <c r="I2" s="9"/>
      <c r="J2" s="9">
        <f ca="1">IFERROR(__xludf.DUMMYFUNCTION("""COMPUTED_VALUE"""),100)</f>
        <v>100</v>
      </c>
      <c r="K2" s="9"/>
      <c r="L2" s="9"/>
      <c r="M2" s="9" t="s">
        <v>2</v>
      </c>
      <c r="N2" s="9" t="str">
        <f ca="1">IFERROR(__xludf.DUMMYFUNCTION("""COMPUTED_VALUE"""),"MNC")</f>
        <v>MNC</v>
      </c>
      <c r="O2" s="9" t="str">
        <f ca="1">IFERROR(__xludf.DUMMYFUNCTION("""COMPUTED_VALUE"""),"Zepter")</f>
        <v>Zepter</v>
      </c>
      <c r="P2" s="9" t="str">
        <f ca="1">IFERROR(__xludf.DUMMYFUNCTION("""COMPUTED_VALUE"""),"Single")</f>
        <v>Single</v>
      </c>
      <c r="Q2" s="9"/>
      <c r="R2" s="9">
        <f ca="1">IFERROR(__xludf.DUMMYFUNCTION("""COMPUTED_VALUE"""),104)</f>
        <v>104</v>
      </c>
      <c r="S2" s="9" t="str">
        <f ca="1">IFERROR(__xludf.DUMMYFUNCTION("""COMPUTED_VALUE"""),"18/10/2024")</f>
        <v>18/10/2024</v>
      </c>
      <c r="T2" s="9" t="str">
        <f ca="1">IFERROR(__xludf.DUMMYFUNCTION("""COMPUTED_VALUE"""),"27/10/2024")</f>
        <v>27/10/2024</v>
      </c>
      <c r="U2" s="9">
        <f ca="1">IFERROR(__xludf.DUMMYFUNCTION("""COMPUTED_VALUE"""),9)</f>
        <v>9</v>
      </c>
      <c r="V2" s="9">
        <f ca="1">IFERROR(__xludf.DUMMYFUNCTION("""COMPUTED_VALUE"""),936)</f>
        <v>936</v>
      </c>
      <c r="W2" s="9">
        <f ca="1">IFERROR(__xludf.DUMMYFUNCTION("""COMPUTED_VALUE"""),14.4)</f>
        <v>14.4</v>
      </c>
      <c r="X2" s="9">
        <f ca="1">IFERROR(__xludf.DUMMYFUNCTION("""COMPUTED_VALUE"""),950.4)</f>
        <v>950.4</v>
      </c>
      <c r="Y2" s="9"/>
      <c r="Z2" s="9"/>
      <c r="AA2" s="9" t="str">
        <f ca="1">IFERROR(__xludf.DUMMYFUNCTION("""COMPUTED_VALUE"""),"YES")</f>
        <v>YES</v>
      </c>
      <c r="AB2" s="9"/>
      <c r="AC2" s="9"/>
      <c r="AD2" s="28" t="str">
        <f ca="1">IFERROR(__xludf.DUMMYFUNCTION("""COMPUTED_VALUE"""),"YES")</f>
        <v>YES</v>
      </c>
      <c r="AE2" s="31" t="str">
        <f ca="1">IFERROR(__xludf.DUMMYFUNCTION("""COMPUTED_VALUE"""),"Beograd")</f>
        <v>Beograd</v>
      </c>
      <c r="AF2" s="11" t="s">
        <v>26</v>
      </c>
      <c r="AG2" s="11" t="str">
        <f ca="1">IFERROR(__xludf.DUMMYFUNCTION("""COMPUTED_VALUE"""),"27/10/2024")</f>
        <v>27/10/2024</v>
      </c>
      <c r="AH2" s="12">
        <v>0.3125</v>
      </c>
      <c r="AI2" s="11"/>
      <c r="AJ2" s="2"/>
    </row>
    <row r="3" spans="1:36" ht="14.4" customHeight="1" x14ac:dyDescent="0.25">
      <c r="A3" s="9">
        <f ca="1">IFERROR(__xludf.DUMMYFUNCTION("""COMPUTED_VALUE"""),2)</f>
        <v>2</v>
      </c>
      <c r="B3" s="9"/>
      <c r="C3" s="9"/>
      <c r="D3" s="9"/>
      <c r="E3" s="23" t="str">
        <f ca="1">IFERROR(__xludf.DUMMYFUNCTION("""COMPUTED_VALUE"""),"Player")</f>
        <v>Player</v>
      </c>
      <c r="F3" s="9" t="str">
        <f ca="1">IFERROR(__xludf.DUMMYFUNCTION("""COMPUTED_VALUE"""),"Khademalsharieh, Sarasadat")</f>
        <v>Khademalsharieh, Sarasadat</v>
      </c>
      <c r="G3" s="9" t="str">
        <f ca="1">IFERROR(__xludf.DUMMYFUNCTION("""COMPUTED_VALUE"""),"ESP")</f>
        <v>ESP</v>
      </c>
      <c r="H3" s="9" t="str">
        <f ca="1">IFERROR(__xludf.DUMMYFUNCTION("""COMPUTED_VALUE"""),"IM")</f>
        <v>IM</v>
      </c>
      <c r="I3" s="9"/>
      <c r="J3" s="9">
        <f ca="1">IFERROR(__xludf.DUMMYFUNCTION("""COMPUTED_VALUE"""),100)</f>
        <v>100</v>
      </c>
      <c r="K3" s="9"/>
      <c r="L3" s="9"/>
      <c r="M3" s="9" t="s">
        <v>2</v>
      </c>
      <c r="N3" s="9" t="str">
        <f ca="1">IFERROR(__xludf.DUMMYFUNCTION("""COMPUTED_VALUE"""),"MNC")</f>
        <v>MNC</v>
      </c>
      <c r="O3" s="9" t="str">
        <f ca="1">IFERROR(__xludf.DUMMYFUNCTION("""COMPUTED_VALUE"""),"Zepter")</f>
        <v>Zepter</v>
      </c>
      <c r="P3" s="9" t="str">
        <f ca="1">IFERROR(__xludf.DUMMYFUNCTION("""COMPUTED_VALUE"""),"Single")</f>
        <v>Single</v>
      </c>
      <c r="Q3" s="9"/>
      <c r="R3" s="9">
        <f ca="1">IFERROR(__xludf.DUMMYFUNCTION("""COMPUTED_VALUE"""),104)</f>
        <v>104</v>
      </c>
      <c r="S3" s="9" t="str">
        <f ca="1">IFERROR(__xludf.DUMMYFUNCTION("""COMPUTED_VALUE"""),"19/10/2024")</f>
        <v>19/10/2024</v>
      </c>
      <c r="T3" s="9" t="str">
        <f ca="1">IFERROR(__xludf.DUMMYFUNCTION("""COMPUTED_VALUE"""),"27/10/2024")</f>
        <v>27/10/2024</v>
      </c>
      <c r="U3" s="9">
        <f ca="1">IFERROR(__xludf.DUMMYFUNCTION("""COMPUTED_VALUE"""),8)</f>
        <v>8</v>
      </c>
      <c r="V3" s="9">
        <f ca="1">IFERROR(__xludf.DUMMYFUNCTION("""COMPUTED_VALUE"""),832)</f>
        <v>832</v>
      </c>
      <c r="W3" s="9">
        <f ca="1">IFERROR(__xludf.DUMMYFUNCTION("""COMPUTED_VALUE"""),12.8)</f>
        <v>12.8</v>
      </c>
      <c r="X3" s="9">
        <f ca="1">IFERROR(__xludf.DUMMYFUNCTION("""COMPUTED_VALUE"""),844.8)</f>
        <v>844.8</v>
      </c>
      <c r="Y3" s="9"/>
      <c r="Z3" s="9"/>
      <c r="AA3" s="9" t="str">
        <f ca="1">IFERROR(__xludf.DUMMYFUNCTION("""COMPUTED_VALUE"""),"YES")</f>
        <v>YES</v>
      </c>
      <c r="AB3" s="9"/>
      <c r="AC3" s="9"/>
      <c r="AD3" s="28" t="str">
        <f ca="1">IFERROR(__xludf.DUMMYFUNCTION("""COMPUTED_VALUE"""),"YES")</f>
        <v>YES</v>
      </c>
      <c r="AE3" s="10" t="s">
        <v>8</v>
      </c>
      <c r="AF3" s="11" t="s">
        <v>25</v>
      </c>
      <c r="AG3" s="11" t="str">
        <f ca="1">IFERROR(__xludf.DUMMYFUNCTION("""COMPUTED_VALUE"""),"27/10/2024")</f>
        <v>27/10/2024</v>
      </c>
      <c r="AH3" s="12">
        <v>0.3263888888888889</v>
      </c>
      <c r="AI3" s="11"/>
      <c r="AJ3" s="2"/>
    </row>
    <row r="4" spans="1:36" ht="14.4" customHeight="1" x14ac:dyDescent="0.25">
      <c r="A4" s="9">
        <f ca="1">IFERROR(__xludf.DUMMYFUNCTION("""COMPUTED_VALUE"""),3)</f>
        <v>3</v>
      </c>
      <c r="B4" s="9"/>
      <c r="C4" s="9"/>
      <c r="D4" s="9"/>
      <c r="E4" s="23" t="str">
        <f ca="1">IFERROR(__xludf.DUMMYFUNCTION("""COMPUTED_VALUE"""),"Player")</f>
        <v>Player</v>
      </c>
      <c r="F4" s="9" t="str">
        <f ca="1">IFERROR(__xludf.DUMMYFUNCTION("""COMPUTED_VALUE"""),"Vaishali, Rameshbabu")</f>
        <v>Vaishali, Rameshbabu</v>
      </c>
      <c r="G4" s="9" t="str">
        <f ca="1">IFERROR(__xludf.DUMMYFUNCTION("""COMPUTED_VALUE"""),"IND")</f>
        <v>IND</v>
      </c>
      <c r="H4" s="9" t="str">
        <f ca="1">IFERROR(__xludf.DUMMYFUNCTION("""COMPUTED_VALUE"""),"GM")</f>
        <v>GM</v>
      </c>
      <c r="I4" s="9"/>
      <c r="J4" s="9">
        <f ca="1">IFERROR(__xludf.DUMMYFUNCTION("""COMPUTED_VALUE"""),100)</f>
        <v>100</v>
      </c>
      <c r="K4" s="9"/>
      <c r="L4" s="9"/>
      <c r="M4" s="9" t="s">
        <v>2</v>
      </c>
      <c r="N4" s="9" t="str">
        <f ca="1">IFERROR(__xludf.DUMMYFUNCTION("""COMPUTED_VALUE"""),"MNC")</f>
        <v>MNC</v>
      </c>
      <c r="O4" s="9" t="str">
        <f ca="1">IFERROR(__xludf.DUMMYFUNCTION("""COMPUTED_VALUE"""),"Zepter")</f>
        <v>Zepter</v>
      </c>
      <c r="P4" s="9" t="str">
        <f ca="1">IFERROR(__xludf.DUMMYFUNCTION("""COMPUTED_VALUE"""),"Single")</f>
        <v>Single</v>
      </c>
      <c r="Q4" s="9"/>
      <c r="R4" s="9">
        <f ca="1">IFERROR(__xludf.DUMMYFUNCTION("""COMPUTED_VALUE"""),104)</f>
        <v>104</v>
      </c>
      <c r="S4" s="9" t="str">
        <f ca="1">IFERROR(__xludf.DUMMYFUNCTION("""COMPUTED_VALUE"""),"18/10/2024")</f>
        <v>18/10/2024</v>
      </c>
      <c r="T4" s="9" t="str">
        <f ca="1">IFERROR(__xludf.DUMMYFUNCTION("""COMPUTED_VALUE"""),"27/10/2024")</f>
        <v>27/10/2024</v>
      </c>
      <c r="U4" s="9">
        <f ca="1">IFERROR(__xludf.DUMMYFUNCTION("""COMPUTED_VALUE"""),9)</f>
        <v>9</v>
      </c>
      <c r="V4" s="9">
        <f ca="1">IFERROR(__xludf.DUMMYFUNCTION("""COMPUTED_VALUE"""),936)</f>
        <v>936</v>
      </c>
      <c r="W4" s="9">
        <f ca="1">IFERROR(__xludf.DUMMYFUNCTION("""COMPUTED_VALUE"""),14.4)</f>
        <v>14.4</v>
      </c>
      <c r="X4" s="9">
        <f ca="1">IFERROR(__xludf.DUMMYFUNCTION("""COMPUTED_VALUE"""),950.4)</f>
        <v>950.4</v>
      </c>
      <c r="Y4" s="9"/>
      <c r="Z4" s="9"/>
      <c r="AA4" s="9" t="str">
        <f ca="1">IFERROR(__xludf.DUMMYFUNCTION("""COMPUTED_VALUE"""),"YES")</f>
        <v>YES</v>
      </c>
      <c r="AB4" s="9"/>
      <c r="AC4" s="9"/>
      <c r="AD4" s="28" t="str">
        <f ca="1">IFERROR(__xludf.DUMMYFUNCTION("""COMPUTED_VALUE"""),"YES")</f>
        <v>YES</v>
      </c>
      <c r="AE4" s="31" t="str">
        <f ca="1">IFERROR(__xludf.DUMMYFUNCTION("""COMPUTED_VALUE"""),"Beograd")</f>
        <v>Beograd</v>
      </c>
      <c r="AF4" s="11" t="s">
        <v>27</v>
      </c>
      <c r="AG4" s="11" t="str">
        <f ca="1">IFERROR(__xludf.DUMMYFUNCTION("""COMPUTED_VALUE"""),"27/10/2024")</f>
        <v>27/10/2024</v>
      </c>
      <c r="AH4" s="12">
        <v>0.55208333333333337</v>
      </c>
      <c r="AI4" s="11"/>
      <c r="AJ4" s="2"/>
    </row>
    <row r="5" spans="1:36" ht="14.4" customHeight="1" x14ac:dyDescent="0.25">
      <c r="A5" s="9">
        <f ca="1">IFERROR(__xludf.DUMMYFUNCTION("""COMPUTED_VALUE"""),4)</f>
        <v>4</v>
      </c>
      <c r="B5" s="9"/>
      <c r="C5" s="9"/>
      <c r="D5" s="9"/>
      <c r="E5" s="23" t="str">
        <f ca="1">IFERROR(__xludf.DUMMYFUNCTION("""COMPUTED_VALUE"""),"Player")</f>
        <v>Player</v>
      </c>
      <c r="F5" s="9" t="str">
        <f ca="1">IFERROR(__xludf.DUMMYFUNCTION("""COMPUTED_VALUE"""),"Paehtz, Elisabeth")</f>
        <v>Paehtz, Elisabeth</v>
      </c>
      <c r="G5" s="9" t="str">
        <f ca="1">IFERROR(__xludf.DUMMYFUNCTION("""COMPUTED_VALUE"""),"GER")</f>
        <v>GER</v>
      </c>
      <c r="H5" s="9" t="str">
        <f ca="1">IFERROR(__xludf.DUMMYFUNCTION("""COMPUTED_VALUE"""),"GM")</f>
        <v>GM</v>
      </c>
      <c r="I5" s="9"/>
      <c r="J5" s="9">
        <f ca="1">IFERROR(__xludf.DUMMYFUNCTION("""COMPUTED_VALUE"""),100)</f>
        <v>100</v>
      </c>
      <c r="K5" s="9"/>
      <c r="L5" s="9"/>
      <c r="M5" s="9" t="s">
        <v>2</v>
      </c>
      <c r="N5" s="9" t="str">
        <f ca="1">IFERROR(__xludf.DUMMYFUNCTION("""COMPUTED_VALUE"""),"MNC")</f>
        <v>MNC</v>
      </c>
      <c r="O5" s="9" t="str">
        <f ca="1">IFERROR(__xludf.DUMMYFUNCTION("""COMPUTED_VALUE"""),"Zepter")</f>
        <v>Zepter</v>
      </c>
      <c r="P5" s="9" t="str">
        <f ca="1">IFERROR(__xludf.DUMMYFUNCTION("""COMPUTED_VALUE"""),"Single")</f>
        <v>Single</v>
      </c>
      <c r="Q5" s="9"/>
      <c r="R5" s="9">
        <f ca="1">IFERROR(__xludf.DUMMYFUNCTION("""COMPUTED_VALUE"""),104)</f>
        <v>104</v>
      </c>
      <c r="S5" s="9" t="str">
        <f ca="1">IFERROR(__xludf.DUMMYFUNCTION("""COMPUTED_VALUE"""),"19/10/2024")</f>
        <v>19/10/2024</v>
      </c>
      <c r="T5" s="9" t="str">
        <f ca="1">IFERROR(__xludf.DUMMYFUNCTION("""COMPUTED_VALUE"""),"27/10/2024")</f>
        <v>27/10/2024</v>
      </c>
      <c r="U5" s="9">
        <f ca="1">IFERROR(__xludf.DUMMYFUNCTION("""COMPUTED_VALUE"""),8)</f>
        <v>8</v>
      </c>
      <c r="V5" s="9">
        <f ca="1">IFERROR(__xludf.DUMMYFUNCTION("""COMPUTED_VALUE"""),832)</f>
        <v>832</v>
      </c>
      <c r="W5" s="9">
        <f ca="1">IFERROR(__xludf.DUMMYFUNCTION("""COMPUTED_VALUE"""),12.8)</f>
        <v>12.8</v>
      </c>
      <c r="X5" s="9">
        <f ca="1">IFERROR(__xludf.DUMMYFUNCTION("""COMPUTED_VALUE"""),844.8)</f>
        <v>844.8</v>
      </c>
      <c r="Y5" s="9"/>
      <c r="Z5" s="9"/>
      <c r="AA5" s="9" t="str">
        <f ca="1">IFERROR(__xludf.DUMMYFUNCTION("""COMPUTED_VALUE"""),"YES")</f>
        <v>YES</v>
      </c>
      <c r="AB5" s="9"/>
      <c r="AC5" s="9"/>
      <c r="AD5" s="28" t="str">
        <f ca="1">IFERROR(__xludf.DUMMYFUNCTION("""COMPUTED_VALUE"""),"YES")</f>
        <v>YES</v>
      </c>
      <c r="AE5" s="31" t="str">
        <f ca="1">IFERROR(__xludf.DUMMYFUNCTION("""COMPUTED_VALUE"""),"Beograd")</f>
        <v>Beograd</v>
      </c>
      <c r="AF5" s="11" t="s">
        <v>24</v>
      </c>
      <c r="AG5" s="11" t="str">
        <f ca="1">IFERROR(__xludf.DUMMYFUNCTION("""COMPUTED_VALUE"""),"27/10/2024")</f>
        <v>27/10/2024</v>
      </c>
      <c r="AH5" s="12">
        <v>0.63194444444444442</v>
      </c>
      <c r="AI5" s="12">
        <v>0.375</v>
      </c>
      <c r="AJ5" s="2"/>
    </row>
    <row r="6" spans="1:36" ht="14.4" customHeight="1" x14ac:dyDescent="0.25">
      <c r="A6" s="9">
        <f ca="1">IFERROR(__xludf.DUMMYFUNCTION("""COMPUTED_VALUE"""),5)</f>
        <v>5</v>
      </c>
      <c r="B6" s="9"/>
      <c r="C6" s="9"/>
      <c r="D6" s="9"/>
      <c r="E6" s="16" t="str">
        <f ca="1">IFERROR(__xludf.DUMMYFUNCTION("""COMPUTED_VALUE"""),"Player")</f>
        <v>Player</v>
      </c>
      <c r="F6" s="8" t="str">
        <f ca="1">IFERROR(__xludf.DUMMYFUNCTION("""COMPUTED_VALUE"""),"Skripchenko, Almira")</f>
        <v>Skripchenko, Almira</v>
      </c>
      <c r="G6" s="8" t="str">
        <f ca="1">IFERROR(__xludf.DUMMYFUNCTION("""COMPUTED_VALUE"""),"FRA")</f>
        <v>FRA</v>
      </c>
      <c r="H6" s="8" t="str">
        <f ca="1">IFERROR(__xludf.DUMMYFUNCTION("""COMPUTED_VALUE"""),"IM")</f>
        <v>IM</v>
      </c>
      <c r="I6" s="8"/>
      <c r="J6" s="8">
        <f ca="1">IFERROR(__xludf.DUMMYFUNCTION("""COMPUTED_VALUE"""),100)</f>
        <v>100</v>
      </c>
      <c r="K6" s="8"/>
      <c r="L6" s="8"/>
      <c r="M6" s="8" t="s">
        <v>2</v>
      </c>
      <c r="N6" s="8" t="str">
        <f ca="1">IFERROR(__xludf.DUMMYFUNCTION("""COMPUTED_VALUE"""),"MNC")</f>
        <v>MNC</v>
      </c>
      <c r="O6" s="8" t="str">
        <f ca="1">IFERROR(__xludf.DUMMYFUNCTION("""COMPUTED_VALUE"""),"Zepter")</f>
        <v>Zepter</v>
      </c>
      <c r="P6" s="8" t="str">
        <f ca="1">IFERROR(__xludf.DUMMYFUNCTION("""COMPUTED_VALUE"""),"Single")</f>
        <v>Single</v>
      </c>
      <c r="Q6" s="8"/>
      <c r="R6" s="8">
        <f ca="1">IFERROR(__xludf.DUMMYFUNCTION("""COMPUTED_VALUE"""),104)</f>
        <v>104</v>
      </c>
      <c r="S6" s="8" t="str">
        <f ca="1">IFERROR(__xludf.DUMMYFUNCTION("""COMPUTED_VALUE"""),"18/10/2024")</f>
        <v>18/10/2024</v>
      </c>
      <c r="T6" s="8" t="str">
        <f ca="1">IFERROR(__xludf.DUMMYFUNCTION("""COMPUTED_VALUE"""),"27/10/2024")</f>
        <v>27/10/2024</v>
      </c>
      <c r="U6" s="8">
        <f ca="1">IFERROR(__xludf.DUMMYFUNCTION("""COMPUTED_VALUE"""),9)</f>
        <v>9</v>
      </c>
      <c r="V6" s="8">
        <f ca="1">IFERROR(__xludf.DUMMYFUNCTION("""COMPUTED_VALUE"""),936)</f>
        <v>936</v>
      </c>
      <c r="W6" s="8">
        <f ca="1">IFERROR(__xludf.DUMMYFUNCTION("""COMPUTED_VALUE"""),14.4)</f>
        <v>14.4</v>
      </c>
      <c r="X6" s="8">
        <f ca="1">IFERROR(__xludf.DUMMYFUNCTION("""COMPUTED_VALUE"""),950.4)</f>
        <v>950.4</v>
      </c>
      <c r="Y6" s="8"/>
      <c r="Z6" s="8"/>
      <c r="AA6" s="8" t="str">
        <f ca="1">IFERROR(__xludf.DUMMYFUNCTION("""COMPUTED_VALUE"""),"YES")</f>
        <v>YES</v>
      </c>
      <c r="AB6" s="8"/>
      <c r="AC6" s="8"/>
      <c r="AD6" s="28" t="str">
        <f ca="1">IFERROR(__xludf.DUMMYFUNCTION("""COMPUTED_VALUE"""),"YES")</f>
        <v>YES</v>
      </c>
      <c r="AE6" s="31" t="str">
        <f ca="1">IFERROR(__xludf.DUMMYFUNCTION("""COMPUTED_VALUE"""),"Beograd")</f>
        <v>Beograd</v>
      </c>
      <c r="AF6" s="11"/>
      <c r="AG6" s="11" t="str">
        <f ca="1">IFERROR(__xludf.DUMMYFUNCTION("""COMPUTED_VALUE"""),"27/10/2024")</f>
        <v>27/10/2024</v>
      </c>
      <c r="AH6" s="11"/>
      <c r="AI6" s="12">
        <v>0.41666666666666669</v>
      </c>
      <c r="AJ6" s="2"/>
    </row>
    <row r="7" spans="1:36" ht="14.4" customHeight="1" x14ac:dyDescent="0.25">
      <c r="A7" s="9">
        <f ca="1">IFERROR(__xludf.DUMMYFUNCTION("""COMPUTED_VALUE"""),6)</f>
        <v>6</v>
      </c>
      <c r="B7" s="9"/>
      <c r="C7" s="9"/>
      <c r="D7" s="9"/>
      <c r="E7" s="23" t="s">
        <v>0</v>
      </c>
      <c r="F7" s="9" t="str">
        <f ca="1">IFERROR(__xludf.DUMMYFUNCTION("""COMPUTED_VALUE"""),"Rapaire, Jean-Michel")</f>
        <v>Rapaire, Jean-Michel</v>
      </c>
      <c r="G7" s="9" t="str">
        <f ca="1">IFERROR(__xludf.DUMMYFUNCTION("""COMPUTED_VALUE"""),"MNC")</f>
        <v>MNC</v>
      </c>
      <c r="H7" s="9"/>
      <c r="I7" s="9"/>
      <c r="J7" s="9">
        <f ca="1">IFERROR(__xludf.DUMMYFUNCTION("""COMPUTED_VALUE"""),100)</f>
        <v>100</v>
      </c>
      <c r="K7" s="9"/>
      <c r="L7" s="9"/>
      <c r="M7" s="9" t="s">
        <v>2</v>
      </c>
      <c r="N7" s="9" t="str">
        <f ca="1">IFERROR(__xludf.DUMMYFUNCTION("""COMPUTED_VALUE"""),"MNC")</f>
        <v>MNC</v>
      </c>
      <c r="O7" s="9" t="str">
        <f ca="1">IFERROR(__xludf.DUMMYFUNCTION("""COMPUTED_VALUE"""),"Zepter")</f>
        <v>Zepter</v>
      </c>
      <c r="P7" s="9" t="str">
        <f ca="1">IFERROR(__xludf.DUMMYFUNCTION("""COMPUTED_VALUE"""),"Single")</f>
        <v>Single</v>
      </c>
      <c r="Q7" s="9" t="str">
        <f ca="1">IFERROR(__xludf.DUMMYFUNCTION("""COMPUTED_VALUE"""),"Rapaire Cat")</f>
        <v>Rapaire Cat</v>
      </c>
      <c r="R7" s="9">
        <f ca="1">IFERROR(__xludf.DUMMYFUNCTION("""COMPUTED_VALUE"""),104)</f>
        <v>104</v>
      </c>
      <c r="S7" s="9" t="str">
        <f ca="1">IFERROR(__xludf.DUMMYFUNCTION("""COMPUTED_VALUE"""),"19/10/2024")</f>
        <v>19/10/2024</v>
      </c>
      <c r="T7" s="9" t="str">
        <f ca="1">IFERROR(__xludf.DUMMYFUNCTION("""COMPUTED_VALUE"""),"27/10/2024")</f>
        <v>27/10/2024</v>
      </c>
      <c r="U7" s="9">
        <f ca="1">IFERROR(__xludf.DUMMYFUNCTION("""COMPUTED_VALUE"""),8)</f>
        <v>8</v>
      </c>
      <c r="V7" s="9">
        <f ca="1">IFERROR(__xludf.DUMMYFUNCTION("""COMPUTED_VALUE"""),832)</f>
        <v>832</v>
      </c>
      <c r="W7" s="9">
        <f ca="1">IFERROR(__xludf.DUMMYFUNCTION("""COMPUTED_VALUE"""),12.8)</f>
        <v>12.8</v>
      </c>
      <c r="X7" s="9">
        <f ca="1">IFERROR(__xludf.DUMMYFUNCTION("""COMPUTED_VALUE"""),844.8)</f>
        <v>844.8</v>
      </c>
      <c r="Y7" s="9"/>
      <c r="Z7" s="9"/>
      <c r="AA7" s="9" t="str">
        <f ca="1">IFERROR(__xludf.DUMMYFUNCTION("""COMPUTED_VALUE"""),"YES")</f>
        <v>YES</v>
      </c>
      <c r="AB7" s="9"/>
      <c r="AC7" s="9"/>
      <c r="AD7" s="28" t="str">
        <f ca="1">IFERROR(__xludf.DUMMYFUNCTION("""COMPUTED_VALUE"""),"YES")</f>
        <v>YES</v>
      </c>
      <c r="AE7" s="31" t="str">
        <f ca="1">IFERROR(__xludf.DUMMYFUNCTION("""COMPUTED_VALUE"""),"Beograd")</f>
        <v>Beograd</v>
      </c>
      <c r="AF7" s="11" t="str">
        <f ca="1">IFERROR(__xludf.DUMMYFUNCTION("""COMPUTED_VALUE"""),"w64025")</f>
        <v>w64025</v>
      </c>
      <c r="AG7" s="11" t="str">
        <f ca="1">IFERROR(__xludf.DUMMYFUNCTION("""COMPUTED_VALUE"""),"27/10/2024")</f>
        <v>27/10/2024</v>
      </c>
      <c r="AH7" s="12">
        <f ca="1">IFERROR(__xludf.DUMMYFUNCTION("""COMPUTED_VALUE"""),0.861111111111111)</f>
        <v>0.86111111111111105</v>
      </c>
      <c r="AI7" s="11"/>
      <c r="AJ7" s="2"/>
    </row>
    <row r="8" spans="1:36" ht="14.4" customHeight="1" x14ac:dyDescent="0.25">
      <c r="A8" s="9">
        <f ca="1">IFERROR(__xludf.DUMMYFUNCTION("""COMPUTED_VALUE"""),7)</f>
        <v>7</v>
      </c>
      <c r="B8" s="9"/>
      <c r="C8" s="9"/>
      <c r="D8" s="9"/>
      <c r="E8" s="23" t="s">
        <v>0</v>
      </c>
      <c r="F8" s="9" t="str">
        <f ca="1">IFERROR(__xludf.DUMMYFUNCTION("""COMPUTED_VALUE"""),"Rapaire Catherine")</f>
        <v>Rapaire Catherine</v>
      </c>
      <c r="G8" s="9" t="str">
        <f ca="1">IFERROR(__xludf.DUMMYFUNCTION("""COMPUTED_VALUE"""),"MNC")</f>
        <v>MNC</v>
      </c>
      <c r="H8" s="9"/>
      <c r="I8" s="9"/>
      <c r="J8" s="9"/>
      <c r="K8" s="9"/>
      <c r="L8" s="9"/>
      <c r="M8" s="9" t="s">
        <v>2</v>
      </c>
      <c r="N8" s="9" t="str">
        <f ca="1">IFERROR(__xludf.DUMMYFUNCTION("""COMPUTED_VALUE"""),"MNC")</f>
        <v>MNC</v>
      </c>
      <c r="O8" s="9" t="str">
        <f ca="1">IFERROR(__xludf.DUMMYFUNCTION("""COMPUTED_VALUE"""),"Zepter")</f>
        <v>Zepter</v>
      </c>
      <c r="P8" s="9"/>
      <c r="Q8" s="9"/>
      <c r="R8" s="9"/>
      <c r="S8" s="9"/>
      <c r="T8" s="9"/>
      <c r="U8" s="9"/>
      <c r="V8" s="9">
        <f ca="1">IFERROR(__xludf.DUMMYFUNCTION("""COMPUTED_VALUE"""),0)</f>
        <v>0</v>
      </c>
      <c r="W8" s="9">
        <f ca="1">IFERROR(__xludf.DUMMYFUNCTION("""COMPUTED_VALUE"""),0)</f>
        <v>0</v>
      </c>
      <c r="X8" s="9">
        <f ca="1">IFERROR(__xludf.DUMMYFUNCTION("""COMPUTED_VALUE"""),0)</f>
        <v>0</v>
      </c>
      <c r="Y8" s="9"/>
      <c r="Z8" s="9"/>
      <c r="AA8" s="9"/>
      <c r="AB8" s="9"/>
      <c r="AC8" s="9"/>
      <c r="AD8" s="28" t="str">
        <f ca="1">IFERROR(__xludf.DUMMYFUNCTION("""COMPUTED_VALUE"""),"NO")</f>
        <v>NO</v>
      </c>
      <c r="AE8" s="31"/>
      <c r="AF8" s="11"/>
      <c r="AG8" s="11"/>
      <c r="AH8" s="11"/>
      <c r="AI8" s="11"/>
      <c r="AJ8" s="2"/>
    </row>
    <row r="9" spans="1:36" ht="14.4" customHeight="1" x14ac:dyDescent="0.25">
      <c r="A9" s="9">
        <f ca="1">IFERROR(__xludf.DUMMYFUNCTION("""COMPUTED_VALUE"""),8)</f>
        <v>8</v>
      </c>
      <c r="B9" s="9"/>
      <c r="C9" s="9"/>
      <c r="D9" s="9"/>
      <c r="E9" s="23" t="str">
        <f ca="1">IFERROR(__xludf.DUMMYFUNCTION("""COMPUTED_VALUE"""),"Player")</f>
        <v>Player</v>
      </c>
      <c r="F9" s="9" t="str">
        <f ca="1">IFERROR(__xludf.DUMMYFUNCTION("""COMPUTED_VALUE"""),"Osmak, Yuliia")</f>
        <v>Osmak, Yuliia</v>
      </c>
      <c r="G9" s="9" t="str">
        <f ca="1">IFERROR(__xludf.DUMMYFUNCTION("""COMPUTED_VALUE"""),"UKR")</f>
        <v>UKR</v>
      </c>
      <c r="H9" s="9" t="str">
        <f ca="1">IFERROR(__xludf.DUMMYFUNCTION("""COMPUTED_VALUE"""),"IM")</f>
        <v>IM</v>
      </c>
      <c r="I9" s="9"/>
      <c r="J9" s="9">
        <f ca="1">IFERROR(__xludf.DUMMYFUNCTION("""COMPUTED_VALUE"""),100)</f>
        <v>100</v>
      </c>
      <c r="K9" s="9"/>
      <c r="L9" s="9"/>
      <c r="M9" s="9" t="str">
        <f ca="1">IFERROR(__xludf.DUMMYFUNCTION("""COMPUTED_VALUE"""),"Gambit Bonnevoie")</f>
        <v>Gambit Bonnevoie</v>
      </c>
      <c r="N9" s="9" t="str">
        <f ca="1">IFERROR(__xludf.DUMMYFUNCTION("""COMPUTED_VALUE"""),"LUX")</f>
        <v>LUX</v>
      </c>
      <c r="O9" s="9" t="str">
        <f ca="1">IFERROR(__xludf.DUMMYFUNCTION("""COMPUTED_VALUE"""),"Fontana")</f>
        <v>Fontana</v>
      </c>
      <c r="P9" s="9" t="str">
        <f ca="1">IFERROR(__xludf.DUMMYFUNCTION("""COMPUTED_VALUE"""),"Double")</f>
        <v>Double</v>
      </c>
      <c r="Q9" s="9" t="str">
        <f ca="1">IFERROR(__xludf.DUMMYFUNCTION("""COMPUTED_VALUE"""),"BABIY Olga")</f>
        <v>BABIY Olga</v>
      </c>
      <c r="R9" s="9">
        <f ca="1">IFERROR(__xludf.DUMMYFUNCTION("""COMPUTED_VALUE"""),84)</f>
        <v>84</v>
      </c>
      <c r="S9" s="9" t="str">
        <f ca="1">IFERROR(__xludf.DUMMYFUNCTION("""COMPUTED_VALUE"""),"19/10/2024")</f>
        <v>19/10/2024</v>
      </c>
      <c r="T9" s="9" t="str">
        <f ca="1">IFERROR(__xludf.DUMMYFUNCTION("""COMPUTED_VALUE"""),"27/10/2024")</f>
        <v>27/10/2024</v>
      </c>
      <c r="U9" s="9">
        <f ca="1">IFERROR(__xludf.DUMMYFUNCTION("""COMPUTED_VALUE"""),8)</f>
        <v>8</v>
      </c>
      <c r="V9" s="9">
        <f ca="1">IFERROR(__xludf.DUMMYFUNCTION("""COMPUTED_VALUE"""),672)</f>
        <v>672</v>
      </c>
      <c r="W9" s="9">
        <f ca="1">IFERROR(__xludf.DUMMYFUNCTION("""COMPUTED_VALUE"""),12.8)</f>
        <v>12.8</v>
      </c>
      <c r="X9" s="9">
        <f ca="1">IFERROR(__xludf.DUMMYFUNCTION("""COMPUTED_VALUE"""),684.8)</f>
        <v>684.8</v>
      </c>
      <c r="Y9" s="9"/>
      <c r="Z9" s="9"/>
      <c r="AA9" s="9"/>
      <c r="AB9" s="9"/>
      <c r="AC9" s="9"/>
      <c r="AD9" s="35" t="str">
        <f ca="1">IFERROR(__xludf.DUMMYFUNCTION("""COMPUTED_VALUE"""),"YES")</f>
        <v>YES</v>
      </c>
      <c r="AE9" s="31" t="str">
        <f ca="1">IFERROR(__xludf.DUMMYFUNCTION("""COMPUTED_VALUE"""),"Beograd")</f>
        <v>Beograd</v>
      </c>
      <c r="AF9" s="11" t="str">
        <f ca="1">IFERROR(__xludf.DUMMYFUNCTION("""COMPUTED_VALUE"""),"AF6293")</f>
        <v>AF6293</v>
      </c>
      <c r="AG9" s="11" t="str">
        <f ca="1">IFERROR(__xludf.DUMMYFUNCTION("""COMPUTED_VALUE"""),"27/10/2024")</f>
        <v>27/10/2024</v>
      </c>
      <c r="AH9" s="12">
        <f ca="1">IFERROR(__xludf.DUMMYFUNCTION("""COMPUTED_VALUE"""),0.711805555555555)</f>
        <v>0.71180555555555503</v>
      </c>
      <c r="AI9" s="11"/>
      <c r="AJ9" s="2"/>
    </row>
    <row r="10" spans="1:36" ht="14.4" customHeight="1" x14ac:dyDescent="0.25">
      <c r="A10" s="9">
        <f ca="1">IFERROR(__xludf.DUMMYFUNCTION("""COMPUTED_VALUE"""),9)</f>
        <v>9</v>
      </c>
      <c r="B10" s="9"/>
      <c r="C10" s="9"/>
      <c r="D10" s="9"/>
      <c r="E10" s="23" t="str">
        <f ca="1">IFERROR(__xludf.DUMMYFUNCTION("""COMPUTED_VALUE"""),"Player")</f>
        <v>Player</v>
      </c>
      <c r="F10" s="9" t="str">
        <f ca="1">IFERROR(__xludf.DUMMYFUNCTION("""COMPUTED_VALUE"""),"Babiy, Olga")</f>
        <v>Babiy, Olga</v>
      </c>
      <c r="G10" s="9" t="str">
        <f ca="1">IFERROR(__xludf.DUMMYFUNCTION("""COMPUTED_VALUE"""),"UKR")</f>
        <v>UKR</v>
      </c>
      <c r="H10" s="9" t="str">
        <f ca="1">IFERROR(__xludf.DUMMYFUNCTION("""COMPUTED_VALUE"""),"WGM")</f>
        <v>WGM</v>
      </c>
      <c r="I10" s="9"/>
      <c r="J10" s="9">
        <f ca="1">IFERROR(__xludf.DUMMYFUNCTION("""COMPUTED_VALUE"""),100)</f>
        <v>100</v>
      </c>
      <c r="K10" s="9"/>
      <c r="L10" s="9"/>
      <c r="M10" s="9" t="str">
        <f ca="1">IFERROR(__xludf.DUMMYFUNCTION("""COMPUTED_VALUE"""),"Gambit Bonnevoie")</f>
        <v>Gambit Bonnevoie</v>
      </c>
      <c r="N10" s="9" t="str">
        <f ca="1">IFERROR(__xludf.DUMMYFUNCTION("""COMPUTED_VALUE"""),"LUX")</f>
        <v>LUX</v>
      </c>
      <c r="O10" s="9" t="str">
        <f ca="1">IFERROR(__xludf.DUMMYFUNCTION("""COMPUTED_VALUE"""),"Fontana")</f>
        <v>Fontana</v>
      </c>
      <c r="P10" s="9" t="str">
        <f ca="1">IFERROR(__xludf.DUMMYFUNCTION("""COMPUTED_VALUE"""),"Double")</f>
        <v>Double</v>
      </c>
      <c r="Q10" s="9" t="str">
        <f ca="1">IFERROR(__xludf.DUMMYFUNCTION("""COMPUTED_VALUE"""),"OSMAK Yuliia")</f>
        <v>OSMAK Yuliia</v>
      </c>
      <c r="R10" s="9">
        <f ca="1">IFERROR(__xludf.DUMMYFUNCTION("""COMPUTED_VALUE"""),84)</f>
        <v>84</v>
      </c>
      <c r="S10" s="9" t="str">
        <f ca="1">IFERROR(__xludf.DUMMYFUNCTION("""COMPUTED_VALUE"""),"19/10/2024")</f>
        <v>19/10/2024</v>
      </c>
      <c r="T10" s="9" t="str">
        <f ca="1">IFERROR(__xludf.DUMMYFUNCTION("""COMPUTED_VALUE"""),"27/10/2024")</f>
        <v>27/10/2024</v>
      </c>
      <c r="U10" s="9">
        <f ca="1">IFERROR(__xludf.DUMMYFUNCTION("""COMPUTED_VALUE"""),8)</f>
        <v>8</v>
      </c>
      <c r="V10" s="9">
        <f ca="1">IFERROR(__xludf.DUMMYFUNCTION("""COMPUTED_VALUE"""),672)</f>
        <v>672</v>
      </c>
      <c r="W10" s="9">
        <f ca="1">IFERROR(__xludf.DUMMYFUNCTION("""COMPUTED_VALUE"""),12.8)</f>
        <v>12.8</v>
      </c>
      <c r="X10" s="9">
        <f ca="1">IFERROR(__xludf.DUMMYFUNCTION("""COMPUTED_VALUE"""),684.8)</f>
        <v>684.8</v>
      </c>
      <c r="Y10" s="9"/>
      <c r="Z10" s="9"/>
      <c r="AA10" s="9"/>
      <c r="AB10" s="9"/>
      <c r="AC10" s="9"/>
      <c r="AD10" s="35" t="str">
        <f ca="1">IFERROR(__xludf.DUMMYFUNCTION("""COMPUTED_VALUE"""),"YES")</f>
        <v>YES</v>
      </c>
      <c r="AE10" s="31" t="str">
        <f ca="1">IFERROR(__xludf.DUMMYFUNCTION("""COMPUTED_VALUE"""),"Beograd")</f>
        <v>Beograd</v>
      </c>
      <c r="AF10" s="11" t="str">
        <f ca="1">IFERROR(__xludf.DUMMYFUNCTION("""COMPUTED_VALUE"""),"LH1407")</f>
        <v>LH1407</v>
      </c>
      <c r="AG10" s="11" t="str">
        <f ca="1">IFERROR(__xludf.DUMMYFUNCTION("""COMPUTED_VALUE"""),"27/10/2024")</f>
        <v>27/10/2024</v>
      </c>
      <c r="AH10" s="12">
        <f ca="1">IFERROR(__xludf.DUMMYFUNCTION("""COMPUTED_VALUE"""),0.569444444444444)</f>
        <v>0.56944444444444398</v>
      </c>
      <c r="AI10" s="11"/>
      <c r="AJ10" s="2"/>
    </row>
    <row r="11" spans="1:36" ht="14.4" customHeight="1" x14ac:dyDescent="0.25">
      <c r="A11" s="9">
        <f ca="1">IFERROR(__xludf.DUMMYFUNCTION("""COMPUTED_VALUE"""),10)</f>
        <v>10</v>
      </c>
      <c r="B11" s="9"/>
      <c r="C11" s="9"/>
      <c r="D11" s="9"/>
      <c r="E11" s="23" t="str">
        <f ca="1">IFERROR(__xludf.DUMMYFUNCTION("""COMPUTED_VALUE"""),"Player")</f>
        <v>Player</v>
      </c>
      <c r="F11" s="9" t="str">
        <f ca="1">IFERROR(__xludf.DUMMYFUNCTION("""COMPUTED_VALUE"""),"Khalafova, Narmin")</f>
        <v>Khalafova, Narmin</v>
      </c>
      <c r="G11" s="9" t="str">
        <f ca="1">IFERROR(__xludf.DUMMYFUNCTION("""COMPUTED_VALUE"""),"AZE")</f>
        <v>AZE</v>
      </c>
      <c r="H11" s="9" t="str">
        <f ca="1">IFERROR(__xludf.DUMMYFUNCTION("""COMPUTED_VALUE"""),"WGM")</f>
        <v>WGM</v>
      </c>
      <c r="I11" s="9"/>
      <c r="J11" s="9">
        <f ca="1">IFERROR(__xludf.DUMMYFUNCTION("""COMPUTED_VALUE"""),100)</f>
        <v>100</v>
      </c>
      <c r="K11" s="9"/>
      <c r="L11" s="9"/>
      <c r="M11" s="9" t="str">
        <f ca="1">IFERROR(__xludf.DUMMYFUNCTION("""COMPUTED_VALUE"""),"Gambit Bonnevoie")</f>
        <v>Gambit Bonnevoie</v>
      </c>
      <c r="N11" s="9" t="str">
        <f ca="1">IFERROR(__xludf.DUMMYFUNCTION("""COMPUTED_VALUE"""),"LUX")</f>
        <v>LUX</v>
      </c>
      <c r="O11" s="9" t="str">
        <f ca="1">IFERROR(__xludf.DUMMYFUNCTION("""COMPUTED_VALUE"""),"Fontana")</f>
        <v>Fontana</v>
      </c>
      <c r="P11" s="9" t="str">
        <f ca="1">IFERROR(__xludf.DUMMYFUNCTION("""COMPUTED_VALUE"""),"Single")</f>
        <v>Single</v>
      </c>
      <c r="Q11" s="9"/>
      <c r="R11" s="9">
        <f ca="1">IFERROR(__xludf.DUMMYFUNCTION("""COMPUTED_VALUE"""),104)</f>
        <v>104</v>
      </c>
      <c r="S11" s="9" t="str">
        <f ca="1">IFERROR(__xludf.DUMMYFUNCTION("""COMPUTED_VALUE"""),"19/10/2024")</f>
        <v>19/10/2024</v>
      </c>
      <c r="T11" s="9" t="str">
        <f ca="1">IFERROR(__xludf.DUMMYFUNCTION("""COMPUTED_VALUE"""),"27/10/2024")</f>
        <v>27/10/2024</v>
      </c>
      <c r="U11" s="9">
        <f ca="1">IFERROR(__xludf.DUMMYFUNCTION("""COMPUTED_VALUE"""),8)</f>
        <v>8</v>
      </c>
      <c r="V11" s="9">
        <f ca="1">IFERROR(__xludf.DUMMYFUNCTION("""COMPUTED_VALUE"""),832)</f>
        <v>832</v>
      </c>
      <c r="W11" s="9">
        <f ca="1">IFERROR(__xludf.DUMMYFUNCTION("""COMPUTED_VALUE"""),12.8)</f>
        <v>12.8</v>
      </c>
      <c r="X11" s="9">
        <f ca="1">IFERROR(__xludf.DUMMYFUNCTION("""COMPUTED_VALUE"""),844.8)</f>
        <v>844.8</v>
      </c>
      <c r="Y11" s="9"/>
      <c r="Z11" s="9"/>
      <c r="AA11" s="9"/>
      <c r="AB11" s="9"/>
      <c r="AC11" s="9"/>
      <c r="AD11" s="35" t="str">
        <f ca="1">IFERROR(__xludf.DUMMYFUNCTION("""COMPUTED_VALUE"""),"YES")</f>
        <v>YES</v>
      </c>
      <c r="AE11" s="31" t="str">
        <f ca="1">IFERROR(__xludf.DUMMYFUNCTION("""COMPUTED_VALUE"""),"Beograd")</f>
        <v>Beograd</v>
      </c>
      <c r="AF11" s="11" t="s">
        <v>30</v>
      </c>
      <c r="AG11" s="11" t="str">
        <f ca="1">IFERROR(__xludf.DUMMYFUNCTION("""COMPUTED_VALUE"""),"27/10/2024")</f>
        <v>27/10/2024</v>
      </c>
      <c r="AH11" s="12">
        <v>0.56944444444444442</v>
      </c>
      <c r="AI11" s="11"/>
      <c r="AJ11" s="2"/>
    </row>
    <row r="12" spans="1:36" ht="14.4" customHeight="1" x14ac:dyDescent="0.25">
      <c r="A12" s="9">
        <f ca="1">IFERROR(__xludf.DUMMYFUNCTION("""COMPUTED_VALUE"""),11)</f>
        <v>11</v>
      </c>
      <c r="B12" s="9"/>
      <c r="C12" s="9"/>
      <c r="D12" s="9"/>
      <c r="E12" s="23" t="str">
        <f ca="1">IFERROR(__xludf.DUMMYFUNCTION("""COMPUTED_VALUE"""),"Player")</f>
        <v>Player</v>
      </c>
      <c r="F12" s="9" t="str">
        <f ca="1">IFERROR(__xludf.DUMMYFUNCTION("""COMPUTED_VALUE"""),"Berend, Elvira")</f>
        <v>Berend, Elvira</v>
      </c>
      <c r="G12" s="9" t="str">
        <f ca="1">IFERROR(__xludf.DUMMYFUNCTION("""COMPUTED_VALUE"""),"LUX")</f>
        <v>LUX</v>
      </c>
      <c r="H12" s="9" t="str">
        <f ca="1">IFERROR(__xludf.DUMMYFUNCTION("""COMPUTED_VALUE"""),"WGM")</f>
        <v>WGM</v>
      </c>
      <c r="I12" s="9"/>
      <c r="J12" s="9">
        <f ca="1">IFERROR(__xludf.DUMMYFUNCTION("""COMPUTED_VALUE"""),100)</f>
        <v>100</v>
      </c>
      <c r="K12" s="9"/>
      <c r="L12" s="9"/>
      <c r="M12" s="9" t="str">
        <f ca="1">IFERROR(__xludf.DUMMYFUNCTION("""COMPUTED_VALUE"""),"Gambit Bonnevoie")</f>
        <v>Gambit Bonnevoie</v>
      </c>
      <c r="N12" s="9" t="str">
        <f ca="1">IFERROR(__xludf.DUMMYFUNCTION("""COMPUTED_VALUE"""),"LUX")</f>
        <v>LUX</v>
      </c>
      <c r="O12" s="9" t="str">
        <f ca="1">IFERROR(__xludf.DUMMYFUNCTION("""COMPUTED_VALUE"""),"Fontana")</f>
        <v>Fontana</v>
      </c>
      <c r="P12" s="9" t="str">
        <f ca="1">IFERROR(__xludf.DUMMYFUNCTION("""COMPUTED_VALUE"""),"Single")</f>
        <v>Single</v>
      </c>
      <c r="Q12" s="9"/>
      <c r="R12" s="9">
        <f ca="1">IFERROR(__xludf.DUMMYFUNCTION("""COMPUTED_VALUE"""),104)</f>
        <v>104</v>
      </c>
      <c r="S12" s="9" t="str">
        <f ca="1">IFERROR(__xludf.DUMMYFUNCTION("""COMPUTED_VALUE"""),"19/10/2024")</f>
        <v>19/10/2024</v>
      </c>
      <c r="T12" s="9" t="str">
        <f ca="1">IFERROR(__xludf.DUMMYFUNCTION("""COMPUTED_VALUE"""),"27/10/2024")</f>
        <v>27/10/2024</v>
      </c>
      <c r="U12" s="9">
        <f ca="1">IFERROR(__xludf.DUMMYFUNCTION("""COMPUTED_VALUE"""),8)</f>
        <v>8</v>
      </c>
      <c r="V12" s="9">
        <f ca="1">IFERROR(__xludf.DUMMYFUNCTION("""COMPUTED_VALUE"""),832)</f>
        <v>832</v>
      </c>
      <c r="W12" s="9">
        <f ca="1">IFERROR(__xludf.DUMMYFUNCTION("""COMPUTED_VALUE"""),12.8)</f>
        <v>12.8</v>
      </c>
      <c r="X12" s="9">
        <f ca="1">IFERROR(__xludf.DUMMYFUNCTION("""COMPUTED_VALUE"""),844.8)</f>
        <v>844.8</v>
      </c>
      <c r="Y12" s="9"/>
      <c r="Z12" s="9"/>
      <c r="AA12" s="9"/>
      <c r="AB12" s="9"/>
      <c r="AC12" s="9"/>
      <c r="AD12" s="35" t="str">
        <f ca="1">IFERROR(__xludf.DUMMYFUNCTION("""COMPUTED_VALUE"""),"YES")</f>
        <v>YES</v>
      </c>
      <c r="AE12" s="31" t="str">
        <f ca="1">IFERROR(__xludf.DUMMYFUNCTION("""COMPUTED_VALUE"""),"Beograd")</f>
        <v>Beograd</v>
      </c>
      <c r="AF12" s="11" t="s">
        <v>30</v>
      </c>
      <c r="AG12" s="11" t="str">
        <f ca="1">IFERROR(__xludf.DUMMYFUNCTION("""COMPUTED_VALUE"""),"27/10/2024")</f>
        <v>27/10/2024</v>
      </c>
      <c r="AH12" s="12">
        <v>0.56944444444444442</v>
      </c>
      <c r="AI12" s="11"/>
      <c r="AJ12" s="2"/>
    </row>
    <row r="13" spans="1:36" ht="14.4" customHeight="1" x14ac:dyDescent="0.25">
      <c r="A13" s="9">
        <f ca="1">IFERROR(__xludf.DUMMYFUNCTION("""COMPUTED_VALUE"""),12)</f>
        <v>12</v>
      </c>
      <c r="B13" s="9"/>
      <c r="C13" s="9"/>
      <c r="D13" s="9" t="str">
        <f ca="1">IFERROR(__xludf.DUMMYFUNCTION("""COMPUTED_VALUE"""),"29/07/2024")</f>
        <v>29/07/2024</v>
      </c>
      <c r="E13" s="23" t="str">
        <f ca="1">IFERROR(__xludf.DUMMYFUNCTION("""COMPUTED_VALUE"""),"Player")</f>
        <v>Player</v>
      </c>
      <c r="F13" s="9" t="str">
        <f ca="1">IFERROR(__xludf.DUMMYFUNCTION("""COMPUTED_VALUE"""),"Mammadzada, Gunay")</f>
        <v>Mammadzada, Gunay</v>
      </c>
      <c r="G13" s="9" t="str">
        <f ca="1">IFERROR(__xludf.DUMMYFUNCTION("""COMPUTED_VALUE"""),"AZE")</f>
        <v>AZE</v>
      </c>
      <c r="H13" s="9" t="str">
        <f ca="1">IFERROR(__xludf.DUMMYFUNCTION("""COMPUTED_VALUE"""),"IM")</f>
        <v>IM</v>
      </c>
      <c r="I13" s="9"/>
      <c r="J13" s="9">
        <f ca="1">IFERROR(__xludf.DUMMYFUNCTION("""COMPUTED_VALUE"""),100)</f>
        <v>100</v>
      </c>
      <c r="K13" s="9"/>
      <c r="L13" s="9"/>
      <c r="M13" s="9" t="s">
        <v>5</v>
      </c>
      <c r="N13" s="9" t="str">
        <f ca="1">IFERROR(__xludf.DUMMYFUNCTION("""COMPUTED_VALUE"""),"SRB")</f>
        <v>SRB</v>
      </c>
      <c r="O13" s="9" t="str">
        <f ca="1">IFERROR(__xludf.DUMMYFUNCTION("""COMPUTED_VALUE"""),"Zepter")</f>
        <v>Zepter</v>
      </c>
      <c r="P13" s="9" t="str">
        <f ca="1">IFERROR(__xludf.DUMMYFUNCTION("""COMPUTED_VALUE"""),"Single")</f>
        <v>Single</v>
      </c>
      <c r="Q13" s="9"/>
      <c r="R13" s="9">
        <f ca="1">IFERROR(__xludf.DUMMYFUNCTION("""COMPUTED_VALUE"""),104)</f>
        <v>104</v>
      </c>
      <c r="S13" s="9" t="str">
        <f ca="1">IFERROR(__xludf.DUMMYFUNCTION("""COMPUTED_VALUE"""),"19/10/2024")</f>
        <v>19/10/2024</v>
      </c>
      <c r="T13" s="9" t="str">
        <f ca="1">IFERROR(__xludf.DUMMYFUNCTION("""COMPUTED_VALUE"""),"27/10/2024")</f>
        <v>27/10/2024</v>
      </c>
      <c r="U13" s="9">
        <f ca="1">IFERROR(__xludf.DUMMYFUNCTION("""COMPUTED_VALUE"""),8)</f>
        <v>8</v>
      </c>
      <c r="V13" s="9">
        <f ca="1">IFERROR(__xludf.DUMMYFUNCTION("""COMPUTED_VALUE"""),832)</f>
        <v>832</v>
      </c>
      <c r="W13" s="9">
        <f ca="1">IFERROR(__xludf.DUMMYFUNCTION("""COMPUTED_VALUE"""),12.8)</f>
        <v>12.8</v>
      </c>
      <c r="X13" s="9">
        <f ca="1">IFERROR(__xludf.DUMMYFUNCTION("""COMPUTED_VALUE"""),844.8)</f>
        <v>844.8</v>
      </c>
      <c r="Y13" s="9"/>
      <c r="Z13" s="9"/>
      <c r="AA13" s="9"/>
      <c r="AB13" s="9"/>
      <c r="AC13" s="9"/>
      <c r="AD13" s="28" t="str">
        <f ca="1">IFERROR(__xludf.DUMMYFUNCTION("""COMPUTED_VALUE"""),"YES")</f>
        <v>YES</v>
      </c>
      <c r="AE13" s="31"/>
      <c r="AF13" s="11"/>
      <c r="AG13" s="11" t="str">
        <f ca="1">IFERROR(__xludf.DUMMYFUNCTION("""COMPUTED_VALUE"""),"27/10/2024")</f>
        <v>27/10/2024</v>
      </c>
      <c r="AH13" s="11"/>
      <c r="AI13" s="11"/>
      <c r="AJ13" s="2"/>
    </row>
    <row r="14" spans="1:36" ht="14.4" customHeight="1" x14ac:dyDescent="0.25">
      <c r="A14" s="9">
        <f ca="1">IFERROR(__xludf.DUMMYFUNCTION("""COMPUTED_VALUE"""),13)</f>
        <v>13</v>
      </c>
      <c r="B14" s="9"/>
      <c r="C14" s="9"/>
      <c r="D14" s="9" t="str">
        <f ca="1">IFERROR(__xludf.DUMMYFUNCTION("""COMPUTED_VALUE"""),"29/07/2024")</f>
        <v>29/07/2024</v>
      </c>
      <c r="E14" s="23" t="str">
        <f ca="1">IFERROR(__xludf.DUMMYFUNCTION("""COMPUTED_VALUE"""),"Player")</f>
        <v>Player</v>
      </c>
      <c r="F14" s="9" t="str">
        <f ca="1">IFERROR(__xludf.DUMMYFUNCTION("""COMPUTED_VALUE"""),"Salimova, Nurgyul")</f>
        <v>Salimova, Nurgyul</v>
      </c>
      <c r="G14" s="9" t="str">
        <f ca="1">IFERROR(__xludf.DUMMYFUNCTION("""COMPUTED_VALUE"""),"BUL")</f>
        <v>BUL</v>
      </c>
      <c r="H14" s="9" t="str">
        <f ca="1">IFERROR(__xludf.DUMMYFUNCTION("""COMPUTED_VALUE"""),"IM")</f>
        <v>IM</v>
      </c>
      <c r="I14" s="9"/>
      <c r="J14" s="9">
        <f ca="1">IFERROR(__xludf.DUMMYFUNCTION("""COMPUTED_VALUE"""),100)</f>
        <v>100</v>
      </c>
      <c r="K14" s="9"/>
      <c r="L14" s="9"/>
      <c r="M14" s="9" t="s">
        <v>5</v>
      </c>
      <c r="N14" s="9" t="str">
        <f ca="1">IFERROR(__xludf.DUMMYFUNCTION("""COMPUTED_VALUE"""),"SRB")</f>
        <v>SRB</v>
      </c>
      <c r="O14" s="9" t="str">
        <f ca="1">IFERROR(__xludf.DUMMYFUNCTION("""COMPUTED_VALUE"""),"Zepter")</f>
        <v>Zepter</v>
      </c>
      <c r="P14" s="9" t="str">
        <f ca="1">IFERROR(__xludf.DUMMYFUNCTION("""COMPUTED_VALUE"""),"Single")</f>
        <v>Single</v>
      </c>
      <c r="Q14" s="9"/>
      <c r="R14" s="9">
        <f ca="1">IFERROR(__xludf.DUMMYFUNCTION("""COMPUTED_VALUE"""),104)</f>
        <v>104</v>
      </c>
      <c r="S14" s="9" t="str">
        <f ca="1">IFERROR(__xludf.DUMMYFUNCTION("""COMPUTED_VALUE"""),"19/10/2024")</f>
        <v>19/10/2024</v>
      </c>
      <c r="T14" s="9" t="str">
        <f ca="1">IFERROR(__xludf.DUMMYFUNCTION("""COMPUTED_VALUE"""),"27/10/2024")</f>
        <v>27/10/2024</v>
      </c>
      <c r="U14" s="9">
        <f ca="1">IFERROR(__xludf.DUMMYFUNCTION("""COMPUTED_VALUE"""),8)</f>
        <v>8</v>
      </c>
      <c r="V14" s="9">
        <f ca="1">IFERROR(__xludf.DUMMYFUNCTION("""COMPUTED_VALUE"""),832)</f>
        <v>832</v>
      </c>
      <c r="W14" s="9">
        <f ca="1">IFERROR(__xludf.DUMMYFUNCTION("""COMPUTED_VALUE"""),12.8)</f>
        <v>12.8</v>
      </c>
      <c r="X14" s="9">
        <f ca="1">IFERROR(__xludf.DUMMYFUNCTION("""COMPUTED_VALUE"""),844.8)</f>
        <v>844.8</v>
      </c>
      <c r="Y14" s="9"/>
      <c r="Z14" s="9"/>
      <c r="AA14" s="9"/>
      <c r="AB14" s="9"/>
      <c r="AC14" s="9"/>
      <c r="AD14" s="20" t="str">
        <f ca="1">IFERROR(__xludf.DUMMYFUNCTION("""COMPUTED_VALUE"""),"YES")</f>
        <v>YES</v>
      </c>
      <c r="AE14" s="31" t="s">
        <v>8</v>
      </c>
      <c r="AF14" s="11"/>
      <c r="AG14" s="11" t="str">
        <f ca="1">IFERROR(__xludf.DUMMYFUNCTION("""COMPUTED_VALUE"""),"27/10/2024")</f>
        <v>27/10/2024</v>
      </c>
      <c r="AH14" s="11"/>
      <c r="AI14" s="11"/>
      <c r="AJ14" s="2"/>
    </row>
    <row r="15" spans="1:36" ht="14.4" customHeight="1" x14ac:dyDescent="0.25">
      <c r="A15" s="9">
        <f ca="1">IFERROR(__xludf.DUMMYFUNCTION("""COMPUTED_VALUE"""),14)</f>
        <v>14</v>
      </c>
      <c r="B15" s="9"/>
      <c r="C15" s="9"/>
      <c r="D15" s="9" t="str">
        <f ca="1">IFERROR(__xludf.DUMMYFUNCTION("""COMPUTED_VALUE"""),"29/07/2024")</f>
        <v>29/07/2024</v>
      </c>
      <c r="E15" s="23" t="str">
        <f ca="1">IFERROR(__xludf.DUMMYFUNCTION("""COMPUTED_VALUE"""),"Player")</f>
        <v>Player</v>
      </c>
      <c r="F15" s="9" t="str">
        <f ca="1">IFERROR(__xludf.DUMMYFUNCTION("""COMPUTED_VALUE"""),"Garifullina, Leya")</f>
        <v>Garifullina, Leya</v>
      </c>
      <c r="G15" s="9" t="str">
        <f ca="1">IFERROR(__xludf.DUMMYFUNCTION("""COMPUTED_VALUE"""),"FID")</f>
        <v>FID</v>
      </c>
      <c r="H15" s="9" t="str">
        <f ca="1">IFERROR(__xludf.DUMMYFUNCTION("""COMPUTED_VALUE"""),"IM")</f>
        <v>IM</v>
      </c>
      <c r="I15" s="9"/>
      <c r="J15" s="9">
        <f ca="1">IFERROR(__xludf.DUMMYFUNCTION("""COMPUTED_VALUE"""),100)</f>
        <v>100</v>
      </c>
      <c r="K15" s="9"/>
      <c r="L15" s="9"/>
      <c r="M15" s="9" t="s">
        <v>5</v>
      </c>
      <c r="N15" s="9" t="str">
        <f ca="1">IFERROR(__xludf.DUMMYFUNCTION("""COMPUTED_VALUE"""),"SRB")</f>
        <v>SRB</v>
      </c>
      <c r="O15" s="9" t="str">
        <f ca="1">IFERROR(__xludf.DUMMYFUNCTION("""COMPUTED_VALUE"""),"Zepter")</f>
        <v>Zepter</v>
      </c>
      <c r="P15" s="9" t="str">
        <f ca="1">IFERROR(__xludf.DUMMYFUNCTION("""COMPUTED_VALUE"""),"Single")</f>
        <v>Single</v>
      </c>
      <c r="Q15" s="9"/>
      <c r="R15" s="9">
        <f ca="1">IFERROR(__xludf.DUMMYFUNCTION("""COMPUTED_VALUE"""),104)</f>
        <v>104</v>
      </c>
      <c r="S15" s="9" t="str">
        <f ca="1">IFERROR(__xludf.DUMMYFUNCTION("""COMPUTED_VALUE"""),"19/10/2024")</f>
        <v>19/10/2024</v>
      </c>
      <c r="T15" s="9" t="str">
        <f ca="1">IFERROR(__xludf.DUMMYFUNCTION("""COMPUTED_VALUE"""),"27/10/2024")</f>
        <v>27/10/2024</v>
      </c>
      <c r="U15" s="9">
        <f ca="1">IFERROR(__xludf.DUMMYFUNCTION("""COMPUTED_VALUE"""),8)</f>
        <v>8</v>
      </c>
      <c r="V15" s="9">
        <f ca="1">IFERROR(__xludf.DUMMYFUNCTION("""COMPUTED_VALUE"""),832)</f>
        <v>832</v>
      </c>
      <c r="W15" s="9">
        <f ca="1">IFERROR(__xludf.DUMMYFUNCTION("""COMPUTED_VALUE"""),12.8)</f>
        <v>12.8</v>
      </c>
      <c r="X15" s="9">
        <f ca="1">IFERROR(__xludf.DUMMYFUNCTION("""COMPUTED_VALUE"""),844.8)</f>
        <v>844.8</v>
      </c>
      <c r="Y15" s="9"/>
      <c r="Z15" s="9"/>
      <c r="AA15" s="9"/>
      <c r="AB15" s="9"/>
      <c r="AC15" s="9"/>
      <c r="AD15" s="20" t="str">
        <f ca="1">IFERROR(__xludf.DUMMYFUNCTION("""COMPUTED_VALUE"""),"YES")</f>
        <v>YES</v>
      </c>
      <c r="AE15" s="31" t="s">
        <v>8</v>
      </c>
      <c r="AF15" s="11"/>
      <c r="AG15" s="11" t="str">
        <f ca="1">IFERROR(__xludf.DUMMYFUNCTION("""COMPUTED_VALUE"""),"27/10/2024")</f>
        <v>27/10/2024</v>
      </c>
      <c r="AH15" s="11"/>
      <c r="AI15" s="11"/>
      <c r="AJ15" s="2"/>
    </row>
    <row r="16" spans="1:36" ht="14.4" customHeight="1" x14ac:dyDescent="0.25">
      <c r="A16" s="9">
        <f ca="1">IFERROR(__xludf.DUMMYFUNCTION("""COMPUTED_VALUE"""),15)</f>
        <v>15</v>
      </c>
      <c r="B16" s="9"/>
      <c r="C16" s="9"/>
      <c r="D16" s="9" t="str">
        <f ca="1">IFERROR(__xludf.DUMMYFUNCTION("""COMPUTED_VALUE"""),"29/07/2024")</f>
        <v>29/07/2024</v>
      </c>
      <c r="E16" s="23" t="str">
        <f ca="1">IFERROR(__xludf.DUMMYFUNCTION("""COMPUTED_VALUE"""),"Player")</f>
        <v>Player</v>
      </c>
      <c r="F16" s="9" t="str">
        <f ca="1">IFERROR(__xludf.DUMMYFUNCTION("""COMPUTED_VALUE"""),"Beydullayeva, Govhar")</f>
        <v>Beydullayeva, Govhar</v>
      </c>
      <c r="G16" s="9" t="str">
        <f ca="1">IFERROR(__xludf.DUMMYFUNCTION("""COMPUTED_VALUE"""),"AZE")</f>
        <v>AZE</v>
      </c>
      <c r="H16" s="9" t="str">
        <f ca="1">IFERROR(__xludf.DUMMYFUNCTION("""COMPUTED_VALUE"""),"WGM")</f>
        <v>WGM</v>
      </c>
      <c r="I16" s="9"/>
      <c r="J16" s="9">
        <f ca="1">IFERROR(__xludf.DUMMYFUNCTION("""COMPUTED_VALUE"""),100)</f>
        <v>100</v>
      </c>
      <c r="K16" s="9"/>
      <c r="L16" s="9"/>
      <c r="M16" s="9" t="s">
        <v>5</v>
      </c>
      <c r="N16" s="9" t="str">
        <f ca="1">IFERROR(__xludf.DUMMYFUNCTION("""COMPUTED_VALUE"""),"SRB")</f>
        <v>SRB</v>
      </c>
      <c r="O16" s="9" t="str">
        <f ca="1">IFERROR(__xludf.DUMMYFUNCTION("""COMPUTED_VALUE"""),"Zepter")</f>
        <v>Zepter</v>
      </c>
      <c r="P16" s="9" t="str">
        <f ca="1">IFERROR(__xludf.DUMMYFUNCTION("""COMPUTED_VALUE"""),"Single")</f>
        <v>Single</v>
      </c>
      <c r="Q16" s="9"/>
      <c r="R16" s="9">
        <f ca="1">IFERROR(__xludf.DUMMYFUNCTION("""COMPUTED_VALUE"""),104)</f>
        <v>104</v>
      </c>
      <c r="S16" s="9" t="str">
        <f ca="1">IFERROR(__xludf.DUMMYFUNCTION("""COMPUTED_VALUE"""),"19/10/2024")</f>
        <v>19/10/2024</v>
      </c>
      <c r="T16" s="9" t="str">
        <f ca="1">IFERROR(__xludf.DUMMYFUNCTION("""COMPUTED_VALUE"""),"27/10/2024")</f>
        <v>27/10/2024</v>
      </c>
      <c r="U16" s="9">
        <f ca="1">IFERROR(__xludf.DUMMYFUNCTION("""COMPUTED_VALUE"""),8)</f>
        <v>8</v>
      </c>
      <c r="V16" s="9">
        <f ca="1">IFERROR(__xludf.DUMMYFUNCTION("""COMPUTED_VALUE"""),832)</f>
        <v>832</v>
      </c>
      <c r="W16" s="9">
        <f ca="1">IFERROR(__xludf.DUMMYFUNCTION("""COMPUTED_VALUE"""),12.8)</f>
        <v>12.8</v>
      </c>
      <c r="X16" s="9">
        <f ca="1">IFERROR(__xludf.DUMMYFUNCTION("""COMPUTED_VALUE"""),844.8)</f>
        <v>844.8</v>
      </c>
      <c r="Y16" s="9"/>
      <c r="Z16" s="9"/>
      <c r="AA16" s="9"/>
      <c r="AB16" s="9"/>
      <c r="AC16" s="9"/>
      <c r="AD16" s="28" t="str">
        <f ca="1">IFERROR(__xludf.DUMMYFUNCTION("""COMPUTED_VALUE"""),"YES")</f>
        <v>YES</v>
      </c>
      <c r="AE16" s="31"/>
      <c r="AF16" s="11"/>
      <c r="AG16" s="11"/>
      <c r="AH16" s="11"/>
      <c r="AI16" s="11"/>
      <c r="AJ16" s="2"/>
    </row>
    <row r="17" spans="1:36" ht="14.4" customHeight="1" x14ac:dyDescent="0.25">
      <c r="A17" s="9">
        <f ca="1">IFERROR(__xludf.DUMMYFUNCTION("""COMPUTED_VALUE"""),16)</f>
        <v>16</v>
      </c>
      <c r="B17" s="9"/>
      <c r="C17" s="9"/>
      <c r="D17" s="9" t="str">
        <f ca="1">IFERROR(__xludf.DUMMYFUNCTION("""COMPUTED_VALUE"""),"29/07/2024")</f>
        <v>29/07/2024</v>
      </c>
      <c r="E17" s="23" t="str">
        <f ca="1">IFERROR(__xludf.DUMMYFUNCTION("""COMPUTED_VALUE"""),"Player")</f>
        <v>Player</v>
      </c>
      <c r="F17" s="9" t="str">
        <f ca="1">IFERROR(__xludf.DUMMYFUNCTION("""COMPUTED_VALUE"""),"Eric, Jovana")</f>
        <v>Eric, Jovana</v>
      </c>
      <c r="G17" s="9" t="str">
        <f ca="1">IFERROR(__xludf.DUMMYFUNCTION("""COMPUTED_VALUE"""),"SRB")</f>
        <v>SRB</v>
      </c>
      <c r="H17" s="9" t="str">
        <f ca="1">IFERROR(__xludf.DUMMYFUNCTION("""COMPUTED_VALUE"""),"WGM")</f>
        <v>WGM</v>
      </c>
      <c r="I17" s="9"/>
      <c r="J17" s="9">
        <f ca="1">IFERROR(__xludf.DUMMYFUNCTION("""COMPUTED_VALUE"""),100)</f>
        <v>100</v>
      </c>
      <c r="K17" s="9"/>
      <c r="L17" s="9"/>
      <c r="M17" s="9" t="s">
        <v>5</v>
      </c>
      <c r="N17" s="9" t="str">
        <f ca="1">IFERROR(__xludf.DUMMYFUNCTION("""COMPUTED_VALUE"""),"SRB")</f>
        <v>SRB</v>
      </c>
      <c r="O17" s="9" t="str">
        <f ca="1">IFERROR(__xludf.DUMMYFUNCTION("""COMPUTED_VALUE"""),"Zepter")</f>
        <v>Zepter</v>
      </c>
      <c r="P17" s="9" t="str">
        <f ca="1">IFERROR(__xludf.DUMMYFUNCTION("""COMPUTED_VALUE"""),"Single")</f>
        <v>Single</v>
      </c>
      <c r="Q17" s="9"/>
      <c r="R17" s="9">
        <f ca="1">IFERROR(__xludf.DUMMYFUNCTION("""COMPUTED_VALUE"""),104)</f>
        <v>104</v>
      </c>
      <c r="S17" s="9" t="str">
        <f ca="1">IFERROR(__xludf.DUMMYFUNCTION("""COMPUTED_VALUE"""),"19/10/2024")</f>
        <v>19/10/2024</v>
      </c>
      <c r="T17" s="9" t="str">
        <f ca="1">IFERROR(__xludf.DUMMYFUNCTION("""COMPUTED_VALUE"""),"27/10/2024")</f>
        <v>27/10/2024</v>
      </c>
      <c r="U17" s="9">
        <f ca="1">IFERROR(__xludf.DUMMYFUNCTION("""COMPUTED_VALUE"""),8)</f>
        <v>8</v>
      </c>
      <c r="V17" s="9">
        <f ca="1">IFERROR(__xludf.DUMMYFUNCTION("""COMPUTED_VALUE"""),832)</f>
        <v>832</v>
      </c>
      <c r="W17" s="9">
        <f ca="1">IFERROR(__xludf.DUMMYFUNCTION("""COMPUTED_VALUE"""),12.8)</f>
        <v>12.8</v>
      </c>
      <c r="X17" s="9">
        <f ca="1">IFERROR(__xludf.DUMMYFUNCTION("""COMPUTED_VALUE"""),844.8)</f>
        <v>844.8</v>
      </c>
      <c r="Y17" s="9"/>
      <c r="Z17" s="9"/>
      <c r="AA17" s="9"/>
      <c r="AB17" s="9"/>
      <c r="AC17" s="9"/>
      <c r="AD17" s="20"/>
      <c r="AE17" s="10"/>
      <c r="AF17" s="11"/>
      <c r="AG17" s="11"/>
      <c r="AH17" s="11"/>
      <c r="AI17" s="11"/>
      <c r="AJ17" s="2"/>
    </row>
    <row r="18" spans="1:36" ht="14.4" customHeight="1" x14ac:dyDescent="0.25">
      <c r="A18" s="9">
        <f ca="1">IFERROR(__xludf.DUMMYFUNCTION("""COMPUTED_VALUE"""),17)</f>
        <v>17</v>
      </c>
      <c r="B18" s="9"/>
      <c r="C18" s="9"/>
      <c r="D18" s="9" t="str">
        <f ca="1">IFERROR(__xludf.DUMMYFUNCTION("""COMPUTED_VALUE"""),"31/07/2024")</f>
        <v>31/07/2024</v>
      </c>
      <c r="E18" s="23" t="str">
        <f ca="1">IFERROR(__xludf.DUMMYFUNCTION("""COMPUTED_VALUE"""),"Player")</f>
        <v>Player</v>
      </c>
      <c r="F18" s="9" t="str">
        <f ca="1">IFERROR(__xludf.DUMMYFUNCTION("""COMPUTED_VALUE"""),"Lahav, Michal")</f>
        <v>Lahav, Michal</v>
      </c>
      <c r="G18" s="9" t="str">
        <f ca="1">IFERROR(__xludf.DUMMYFUNCTION("""COMPUTED_VALUE"""),"ISR")</f>
        <v>ISR</v>
      </c>
      <c r="H18" s="9" t="str">
        <f ca="1">IFERROR(__xludf.DUMMYFUNCTION("""COMPUTED_VALUE"""),"WIM")</f>
        <v>WIM</v>
      </c>
      <c r="I18" s="9"/>
      <c r="J18" s="9">
        <f ca="1">IFERROR(__xludf.DUMMYFUNCTION("""COMPUTED_VALUE"""),100)</f>
        <v>100</v>
      </c>
      <c r="K18" s="9"/>
      <c r="L18" s="9"/>
      <c r="M18" s="9" t="str">
        <f ca="1">IFERROR(__xludf.DUMMYFUNCTION("""COMPUTED_VALUE"""),"Rishon Le Zion")</f>
        <v>Rishon Le Zion</v>
      </c>
      <c r="N18" s="9" t="str">
        <f ca="1">IFERROR(__xludf.DUMMYFUNCTION("""COMPUTED_VALUE"""),"ISR")</f>
        <v>ISR</v>
      </c>
      <c r="O18" s="9" t="str">
        <f ca="1">IFERROR(__xludf.DUMMYFUNCTION("""COMPUTED_VALUE"""),"Fontana")</f>
        <v>Fontana</v>
      </c>
      <c r="P18" s="9" t="str">
        <f ca="1">IFERROR(__xludf.DUMMYFUNCTION("""COMPUTED_VALUE"""),"Single")</f>
        <v>Single</v>
      </c>
      <c r="Q18" s="9"/>
      <c r="R18" s="9">
        <f ca="1">IFERROR(__xludf.DUMMYFUNCTION("""COMPUTED_VALUE"""),104)</f>
        <v>104</v>
      </c>
      <c r="S18" s="9" t="str">
        <f ca="1">IFERROR(__xludf.DUMMYFUNCTION("""COMPUTED_VALUE"""),"18/10/2024")</f>
        <v>18/10/2024</v>
      </c>
      <c r="T18" s="9" t="str">
        <f ca="1">IFERROR(__xludf.DUMMYFUNCTION("""COMPUTED_VALUE"""),"27/10/2024")</f>
        <v>27/10/2024</v>
      </c>
      <c r="U18" s="9">
        <f ca="1">IFERROR(__xludf.DUMMYFUNCTION("""COMPUTED_VALUE"""),9)</f>
        <v>9</v>
      </c>
      <c r="V18" s="9">
        <f ca="1">IFERROR(__xludf.DUMMYFUNCTION("""COMPUTED_VALUE"""),936)</f>
        <v>936</v>
      </c>
      <c r="W18" s="9">
        <f ca="1">IFERROR(__xludf.DUMMYFUNCTION("""COMPUTED_VALUE"""),14.4)</f>
        <v>14.4</v>
      </c>
      <c r="X18" s="9">
        <f ca="1">IFERROR(__xludf.DUMMYFUNCTION("""COMPUTED_VALUE"""),950.4)</f>
        <v>950.4</v>
      </c>
      <c r="Y18" s="9"/>
      <c r="Z18" s="9"/>
      <c r="AA18" s="9"/>
      <c r="AB18" s="9"/>
      <c r="AC18" s="9"/>
      <c r="AD18" s="34" t="str">
        <f ca="1">IFERROR(__xludf.DUMMYFUNCTION("""COMPUTED_VALUE"""),"YES")</f>
        <v>YES</v>
      </c>
      <c r="AE18" s="10" t="str">
        <f ca="1">IFERROR(__xludf.DUMMYFUNCTION("""COMPUTED_VALUE"""),"SOFIA")</f>
        <v>SOFIA</v>
      </c>
      <c r="AF18" s="11" t="str">
        <f ca="1">IFERROR(__xludf.DUMMYFUNCTION("""COMPUTED_VALUE"""),"LY0552")</f>
        <v>LY0552</v>
      </c>
      <c r="AG18" s="11" t="str">
        <f ca="1">IFERROR(__xludf.DUMMYFUNCTION("""COMPUTED_VALUE"""),"27/10/2024")</f>
        <v>27/10/2024</v>
      </c>
      <c r="AH18" s="12">
        <v>0.41666666666666669</v>
      </c>
      <c r="AI18" s="11"/>
      <c r="AJ18" s="2"/>
    </row>
    <row r="19" spans="1:36" ht="14.4" customHeight="1" x14ac:dyDescent="0.25">
      <c r="A19" s="9">
        <f ca="1">IFERROR(__xludf.DUMMYFUNCTION("""COMPUTED_VALUE"""),18)</f>
        <v>18</v>
      </c>
      <c r="B19" s="9"/>
      <c r="C19" s="9"/>
      <c r="D19" s="9" t="str">
        <f ca="1">IFERROR(__xludf.DUMMYFUNCTION("""COMPUTED_VALUE"""),"31/07/2024")</f>
        <v>31/07/2024</v>
      </c>
      <c r="E19" s="23" t="str">
        <f ca="1">IFERROR(__xludf.DUMMYFUNCTION("""COMPUTED_VALUE"""),"Player")</f>
        <v>Player</v>
      </c>
      <c r="F19" s="9" t="str">
        <f ca="1">IFERROR(__xludf.DUMMYFUNCTION("""COMPUTED_VALUE"""),"Katkov, Michelle")</f>
        <v>Katkov, Michelle</v>
      </c>
      <c r="G19" s="9" t="str">
        <f ca="1">IFERROR(__xludf.DUMMYFUNCTION("""COMPUTED_VALUE"""),"ISR")</f>
        <v>ISR</v>
      </c>
      <c r="H19" s="9" t="str">
        <f ca="1">IFERROR(__xludf.DUMMYFUNCTION("""COMPUTED_VALUE"""),"WFM")</f>
        <v>WFM</v>
      </c>
      <c r="I19" s="9"/>
      <c r="J19" s="9">
        <f ca="1">IFERROR(__xludf.DUMMYFUNCTION("""COMPUTED_VALUE"""),100)</f>
        <v>100</v>
      </c>
      <c r="K19" s="9"/>
      <c r="L19" s="9"/>
      <c r="M19" s="9" t="str">
        <f ca="1">IFERROR(__xludf.DUMMYFUNCTION("""COMPUTED_VALUE"""),"Rishon Le Zion")</f>
        <v>Rishon Le Zion</v>
      </c>
      <c r="N19" s="9" t="str">
        <f ca="1">IFERROR(__xludf.DUMMYFUNCTION("""COMPUTED_VALUE"""),"ISR")</f>
        <v>ISR</v>
      </c>
      <c r="O19" s="9" t="str">
        <f ca="1">IFERROR(__xludf.DUMMYFUNCTION("""COMPUTED_VALUE"""),"Fontana")</f>
        <v>Fontana</v>
      </c>
      <c r="P19" s="9" t="str">
        <f ca="1">IFERROR(__xludf.DUMMYFUNCTION("""COMPUTED_VALUE"""),"Double")</f>
        <v>Double</v>
      </c>
      <c r="Q19" s="9" t="str">
        <f ca="1">IFERROR(__xludf.DUMMYFUNCTION("""COMPUTED_VALUE"""),"Tashkinova Sofiia")</f>
        <v>Tashkinova Sofiia</v>
      </c>
      <c r="R19" s="9">
        <f ca="1">IFERROR(__xludf.DUMMYFUNCTION("""COMPUTED_VALUE"""),84)</f>
        <v>84</v>
      </c>
      <c r="S19" s="9" t="str">
        <f ca="1">IFERROR(__xludf.DUMMYFUNCTION("""COMPUTED_VALUE"""),"18/10/2024")</f>
        <v>18/10/2024</v>
      </c>
      <c r="T19" s="9" t="str">
        <f ca="1">IFERROR(__xludf.DUMMYFUNCTION("""COMPUTED_VALUE"""),"27/10/2024")</f>
        <v>27/10/2024</v>
      </c>
      <c r="U19" s="9">
        <f ca="1">IFERROR(__xludf.DUMMYFUNCTION("""COMPUTED_VALUE"""),9)</f>
        <v>9</v>
      </c>
      <c r="V19" s="9">
        <f ca="1">IFERROR(__xludf.DUMMYFUNCTION("""COMPUTED_VALUE"""),756)</f>
        <v>756</v>
      </c>
      <c r="W19" s="9">
        <f ca="1">IFERROR(__xludf.DUMMYFUNCTION("""COMPUTED_VALUE"""),14.4)</f>
        <v>14.4</v>
      </c>
      <c r="X19" s="9">
        <f ca="1">IFERROR(__xludf.DUMMYFUNCTION("""COMPUTED_VALUE"""),770.4)</f>
        <v>770.4</v>
      </c>
      <c r="Y19" s="9"/>
      <c r="Z19" s="9"/>
      <c r="AA19" s="9"/>
      <c r="AB19" s="9"/>
      <c r="AC19" s="9"/>
      <c r="AD19" s="34" t="str">
        <f ca="1">IFERROR(__xludf.DUMMYFUNCTION("""COMPUTED_VALUE"""),"YES")</f>
        <v>YES</v>
      </c>
      <c r="AE19" s="10" t="str">
        <f ca="1">IFERROR(__xludf.DUMMYFUNCTION("""COMPUTED_VALUE"""),"SOFIA")</f>
        <v>SOFIA</v>
      </c>
      <c r="AF19" s="11" t="str">
        <f ca="1">IFERROR(__xludf.DUMMYFUNCTION("""COMPUTED_VALUE"""),"LY0552")</f>
        <v>LY0552</v>
      </c>
      <c r="AG19" s="11" t="str">
        <f ca="1">IFERROR(__xludf.DUMMYFUNCTION("""COMPUTED_VALUE"""),"27/10/2024")</f>
        <v>27/10/2024</v>
      </c>
      <c r="AH19" s="12">
        <v>0.41666666666666669</v>
      </c>
      <c r="AI19" s="11"/>
      <c r="AJ19" s="2"/>
    </row>
    <row r="20" spans="1:36" ht="14.4" customHeight="1" x14ac:dyDescent="0.25">
      <c r="A20" s="9">
        <f ca="1">IFERROR(__xludf.DUMMYFUNCTION("""COMPUTED_VALUE"""),19)</f>
        <v>19</v>
      </c>
      <c r="B20" s="9"/>
      <c r="C20" s="9"/>
      <c r="D20" s="9" t="str">
        <f ca="1">IFERROR(__xludf.DUMMYFUNCTION("""COMPUTED_VALUE"""),"31/07/2024")</f>
        <v>31/07/2024</v>
      </c>
      <c r="E20" s="23" t="str">
        <f ca="1">IFERROR(__xludf.DUMMYFUNCTION("""COMPUTED_VALUE"""),"Player")</f>
        <v>Player</v>
      </c>
      <c r="F20" s="9" t="str">
        <f ca="1">IFERROR(__xludf.DUMMYFUNCTION("""COMPUTED_VALUE"""),"Tashkinova, Sofiia")</f>
        <v>Tashkinova, Sofiia</v>
      </c>
      <c r="G20" s="9" t="str">
        <f ca="1">IFERROR(__xludf.DUMMYFUNCTION("""COMPUTED_VALUE"""),"ISR")</f>
        <v>ISR</v>
      </c>
      <c r="H20" s="9" t="str">
        <f ca="1">IFERROR(__xludf.DUMMYFUNCTION("""COMPUTED_VALUE"""),"WFM")</f>
        <v>WFM</v>
      </c>
      <c r="I20" s="9"/>
      <c r="J20" s="9">
        <f ca="1">IFERROR(__xludf.DUMMYFUNCTION("""COMPUTED_VALUE"""),100)</f>
        <v>100</v>
      </c>
      <c r="K20" s="9"/>
      <c r="L20" s="9"/>
      <c r="M20" s="9" t="str">
        <f ca="1">IFERROR(__xludf.DUMMYFUNCTION("""COMPUTED_VALUE"""),"Rishon Le Zion")</f>
        <v>Rishon Le Zion</v>
      </c>
      <c r="N20" s="9" t="str">
        <f ca="1">IFERROR(__xludf.DUMMYFUNCTION("""COMPUTED_VALUE"""),"ISR")</f>
        <v>ISR</v>
      </c>
      <c r="O20" s="9" t="str">
        <f ca="1">IFERROR(__xludf.DUMMYFUNCTION("""COMPUTED_VALUE"""),"Fontana")</f>
        <v>Fontana</v>
      </c>
      <c r="P20" s="9" t="str">
        <f ca="1">IFERROR(__xludf.DUMMYFUNCTION("""COMPUTED_VALUE"""),"Double")</f>
        <v>Double</v>
      </c>
      <c r="Q20" s="9" t="str">
        <f ca="1">IFERROR(__xludf.DUMMYFUNCTION("""COMPUTED_VALUE"""),"Katkov Michelle")</f>
        <v>Katkov Michelle</v>
      </c>
      <c r="R20" s="9">
        <f ca="1">IFERROR(__xludf.DUMMYFUNCTION("""COMPUTED_VALUE"""),84)</f>
        <v>84</v>
      </c>
      <c r="S20" s="9" t="str">
        <f ca="1">IFERROR(__xludf.DUMMYFUNCTION("""COMPUTED_VALUE"""),"18/10/2024")</f>
        <v>18/10/2024</v>
      </c>
      <c r="T20" s="9" t="str">
        <f ca="1">IFERROR(__xludf.DUMMYFUNCTION("""COMPUTED_VALUE"""),"27/10/2024")</f>
        <v>27/10/2024</v>
      </c>
      <c r="U20" s="9">
        <f ca="1">IFERROR(__xludf.DUMMYFUNCTION("""COMPUTED_VALUE"""),9)</f>
        <v>9</v>
      </c>
      <c r="V20" s="9">
        <f ca="1">IFERROR(__xludf.DUMMYFUNCTION("""COMPUTED_VALUE"""),756)</f>
        <v>756</v>
      </c>
      <c r="W20" s="9">
        <f ca="1">IFERROR(__xludf.DUMMYFUNCTION("""COMPUTED_VALUE"""),14.4)</f>
        <v>14.4</v>
      </c>
      <c r="X20" s="9">
        <f ca="1">IFERROR(__xludf.DUMMYFUNCTION("""COMPUTED_VALUE"""),770.4)</f>
        <v>770.4</v>
      </c>
      <c r="Y20" s="9"/>
      <c r="Z20" s="9"/>
      <c r="AA20" s="9"/>
      <c r="AB20" s="9"/>
      <c r="AC20" s="9"/>
      <c r="AD20" s="34" t="str">
        <f ca="1">IFERROR(__xludf.DUMMYFUNCTION("""COMPUTED_VALUE"""),"YES")</f>
        <v>YES</v>
      </c>
      <c r="AE20" s="10" t="str">
        <f ca="1">IFERROR(__xludf.DUMMYFUNCTION("""COMPUTED_VALUE"""),"SOFIA")</f>
        <v>SOFIA</v>
      </c>
      <c r="AF20" s="11" t="str">
        <f ca="1">IFERROR(__xludf.DUMMYFUNCTION("""COMPUTED_VALUE"""),"LY0552")</f>
        <v>LY0552</v>
      </c>
      <c r="AG20" s="11" t="str">
        <f ca="1">IFERROR(__xludf.DUMMYFUNCTION("""COMPUTED_VALUE"""),"27/10/2024")</f>
        <v>27/10/2024</v>
      </c>
      <c r="AH20" s="12">
        <v>0.41666666666666669</v>
      </c>
      <c r="AI20" s="11"/>
      <c r="AJ20" s="2"/>
    </row>
    <row r="21" spans="1:36" ht="14.4" customHeight="1" x14ac:dyDescent="0.25">
      <c r="A21" s="9">
        <f ca="1">IFERROR(__xludf.DUMMYFUNCTION("""COMPUTED_VALUE"""),20)</f>
        <v>20</v>
      </c>
      <c r="B21" s="9"/>
      <c r="C21" s="9"/>
      <c r="D21" s="9" t="str">
        <f ca="1">IFERROR(__xludf.DUMMYFUNCTION("""COMPUTED_VALUE"""),"31/07/2024")</f>
        <v>31/07/2024</v>
      </c>
      <c r="E21" s="23" t="str">
        <f ca="1">IFERROR(__xludf.DUMMYFUNCTION("""COMPUTED_VALUE"""),"Player")</f>
        <v>Player</v>
      </c>
      <c r="F21" s="9" t="str">
        <f ca="1">IFERROR(__xludf.DUMMYFUNCTION("""COMPUTED_VALUE"""),"Reprun, Nadejda")</f>
        <v>Reprun, Nadejda</v>
      </c>
      <c r="G21" s="9" t="str">
        <f ca="1">IFERROR(__xludf.DUMMYFUNCTION("""COMPUTED_VALUE"""),"ISR")</f>
        <v>ISR</v>
      </c>
      <c r="H21" s="9" t="str">
        <f ca="1">IFERROR(__xludf.DUMMYFUNCTION("""COMPUTED_VALUE"""),"WFM")</f>
        <v>WFM</v>
      </c>
      <c r="I21" s="9"/>
      <c r="J21" s="9">
        <f ca="1">IFERROR(__xludf.DUMMYFUNCTION("""COMPUTED_VALUE"""),100)</f>
        <v>100</v>
      </c>
      <c r="K21" s="9"/>
      <c r="L21" s="9"/>
      <c r="M21" s="9" t="str">
        <f ca="1">IFERROR(__xludf.DUMMYFUNCTION("""COMPUTED_VALUE"""),"Rishon Le Zion")</f>
        <v>Rishon Le Zion</v>
      </c>
      <c r="N21" s="9" t="str">
        <f ca="1">IFERROR(__xludf.DUMMYFUNCTION("""COMPUTED_VALUE"""),"ISR")</f>
        <v>ISR</v>
      </c>
      <c r="O21" s="9" t="str">
        <f ca="1">IFERROR(__xludf.DUMMYFUNCTION("""COMPUTED_VALUE"""),"Fontana")</f>
        <v>Fontana</v>
      </c>
      <c r="P21" s="9" t="str">
        <f ca="1">IFERROR(__xludf.DUMMYFUNCTION("""COMPUTED_VALUE"""),"Single")</f>
        <v>Single</v>
      </c>
      <c r="Q21" s="9"/>
      <c r="R21" s="9">
        <f ca="1">IFERROR(__xludf.DUMMYFUNCTION("""COMPUTED_VALUE"""),104)</f>
        <v>104</v>
      </c>
      <c r="S21" s="9" t="str">
        <f ca="1">IFERROR(__xludf.DUMMYFUNCTION("""COMPUTED_VALUE"""),"18/10/2024")</f>
        <v>18/10/2024</v>
      </c>
      <c r="T21" s="9" t="str">
        <f ca="1">IFERROR(__xludf.DUMMYFUNCTION("""COMPUTED_VALUE"""),"27/10/2024")</f>
        <v>27/10/2024</v>
      </c>
      <c r="U21" s="9">
        <f ca="1">IFERROR(__xludf.DUMMYFUNCTION("""COMPUTED_VALUE"""),9)</f>
        <v>9</v>
      </c>
      <c r="V21" s="9">
        <f ca="1">IFERROR(__xludf.DUMMYFUNCTION("""COMPUTED_VALUE"""),936)</f>
        <v>936</v>
      </c>
      <c r="W21" s="9">
        <f ca="1">IFERROR(__xludf.DUMMYFUNCTION("""COMPUTED_VALUE"""),14.4)</f>
        <v>14.4</v>
      </c>
      <c r="X21" s="9">
        <f ca="1">IFERROR(__xludf.DUMMYFUNCTION("""COMPUTED_VALUE"""),950.4)</f>
        <v>950.4</v>
      </c>
      <c r="Y21" s="9"/>
      <c r="Z21" s="9"/>
      <c r="AA21" s="9"/>
      <c r="AB21" s="9"/>
      <c r="AC21" s="9"/>
      <c r="AD21" s="34" t="str">
        <f ca="1">IFERROR(__xludf.DUMMYFUNCTION("""COMPUTED_VALUE"""),"YES")</f>
        <v>YES</v>
      </c>
      <c r="AE21" s="10" t="str">
        <f ca="1">IFERROR(__xludf.DUMMYFUNCTION("""COMPUTED_VALUE"""),"SOFIA")</f>
        <v>SOFIA</v>
      </c>
      <c r="AF21" s="11" t="str">
        <f ca="1">IFERROR(__xludf.DUMMYFUNCTION("""COMPUTED_VALUE"""),"LY0552")</f>
        <v>LY0552</v>
      </c>
      <c r="AG21" s="11" t="str">
        <f ca="1">IFERROR(__xludf.DUMMYFUNCTION("""COMPUTED_VALUE"""),"27/10/2024")</f>
        <v>27/10/2024</v>
      </c>
      <c r="AH21" s="12">
        <v>0.41666666666666669</v>
      </c>
      <c r="AI21" s="11"/>
      <c r="AJ21" s="2"/>
    </row>
    <row r="22" spans="1:36" ht="14.4" customHeight="1" x14ac:dyDescent="0.25">
      <c r="A22" s="9">
        <f ca="1">IFERROR(__xludf.DUMMYFUNCTION("""COMPUTED_VALUE"""),21)</f>
        <v>21</v>
      </c>
      <c r="B22" s="9"/>
      <c r="C22" s="9"/>
      <c r="D22" s="9" t="str">
        <f ca="1">IFERROR(__xludf.DUMMYFUNCTION("""COMPUTED_VALUE"""),"31/07/2024")</f>
        <v>31/07/2024</v>
      </c>
      <c r="E22" s="23" t="str">
        <f ca="1">IFERROR(__xludf.DUMMYFUNCTION("""COMPUTED_VALUE"""),"Player")</f>
        <v>Player</v>
      </c>
      <c r="F22" s="9" t="str">
        <f ca="1">IFERROR(__xludf.DUMMYFUNCTION("""COMPUTED_VALUE"""),"Federovski, Adi")</f>
        <v>Federovski, Adi</v>
      </c>
      <c r="G22" s="9" t="str">
        <f ca="1">IFERROR(__xludf.DUMMYFUNCTION("""COMPUTED_VALUE"""),"ISR")</f>
        <v>ISR</v>
      </c>
      <c r="H22" s="9"/>
      <c r="I22" s="9"/>
      <c r="J22" s="9">
        <f ca="1">IFERROR(__xludf.DUMMYFUNCTION("""COMPUTED_VALUE"""),100)</f>
        <v>100</v>
      </c>
      <c r="K22" s="9"/>
      <c r="L22" s="9"/>
      <c r="M22" s="9" t="str">
        <f ca="1">IFERROR(__xludf.DUMMYFUNCTION("""COMPUTED_VALUE"""),"Rishon Le Zion")</f>
        <v>Rishon Le Zion</v>
      </c>
      <c r="N22" s="9" t="str">
        <f ca="1">IFERROR(__xludf.DUMMYFUNCTION("""COMPUTED_VALUE"""),"ISR")</f>
        <v>ISR</v>
      </c>
      <c r="O22" s="9" t="str">
        <f ca="1">IFERROR(__xludf.DUMMYFUNCTION("""COMPUTED_VALUE"""),"Fontana")</f>
        <v>Fontana</v>
      </c>
      <c r="P22" s="9" t="str">
        <f ca="1">IFERROR(__xludf.DUMMYFUNCTION("""COMPUTED_VALUE"""),"Single")</f>
        <v>Single</v>
      </c>
      <c r="Q22" s="9"/>
      <c r="R22" s="9">
        <f ca="1">IFERROR(__xludf.DUMMYFUNCTION("""COMPUTED_VALUE"""),104)</f>
        <v>104</v>
      </c>
      <c r="S22" s="9" t="str">
        <f ca="1">IFERROR(__xludf.DUMMYFUNCTION("""COMPUTED_VALUE"""),"18/10/2024")</f>
        <v>18/10/2024</v>
      </c>
      <c r="T22" s="9" t="str">
        <f ca="1">IFERROR(__xludf.DUMMYFUNCTION("""COMPUTED_VALUE"""),"27/10/2024")</f>
        <v>27/10/2024</v>
      </c>
      <c r="U22" s="9">
        <f ca="1">IFERROR(__xludf.DUMMYFUNCTION("""COMPUTED_VALUE"""),9)</f>
        <v>9</v>
      </c>
      <c r="V22" s="9">
        <f ca="1">IFERROR(__xludf.DUMMYFUNCTION("""COMPUTED_VALUE"""),936)</f>
        <v>936</v>
      </c>
      <c r="W22" s="9">
        <f ca="1">IFERROR(__xludf.DUMMYFUNCTION("""COMPUTED_VALUE"""),14.4)</f>
        <v>14.4</v>
      </c>
      <c r="X22" s="9">
        <f ca="1">IFERROR(__xludf.DUMMYFUNCTION("""COMPUTED_VALUE"""),950.4)</f>
        <v>950.4</v>
      </c>
      <c r="Y22" s="9"/>
      <c r="Z22" s="9"/>
      <c r="AA22" s="9"/>
      <c r="AB22" s="9"/>
      <c r="AC22" s="9"/>
      <c r="AD22" s="34" t="str">
        <f ca="1">IFERROR(__xludf.DUMMYFUNCTION("""COMPUTED_VALUE"""),"YES")</f>
        <v>YES</v>
      </c>
      <c r="AE22" s="10" t="str">
        <f ca="1">IFERROR(__xludf.DUMMYFUNCTION("""COMPUTED_VALUE"""),"SOFIA")</f>
        <v>SOFIA</v>
      </c>
      <c r="AF22" s="11" t="str">
        <f ca="1">IFERROR(__xludf.DUMMYFUNCTION("""COMPUTED_VALUE"""),"LY0552")</f>
        <v>LY0552</v>
      </c>
      <c r="AG22" s="11" t="str">
        <f ca="1">IFERROR(__xludf.DUMMYFUNCTION("""COMPUTED_VALUE"""),"27/10/2024")</f>
        <v>27/10/2024</v>
      </c>
      <c r="AH22" s="12">
        <v>0.41666666666666669</v>
      </c>
      <c r="AI22" s="11"/>
      <c r="AJ22" s="2"/>
    </row>
    <row r="23" spans="1:36" ht="14.4" customHeight="1" x14ac:dyDescent="0.25">
      <c r="A23" s="9">
        <f ca="1">IFERROR(__xludf.DUMMYFUNCTION("""COMPUTED_VALUE"""),22)</f>
        <v>22</v>
      </c>
      <c r="B23" s="9"/>
      <c r="C23" s="9"/>
      <c r="D23" s="24">
        <f ca="1">IFERROR(__xludf.DUMMYFUNCTION("""COMPUTED_VALUE"""),45481)</f>
        <v>45481</v>
      </c>
      <c r="E23" s="23" t="str">
        <f ca="1">IFERROR(__xludf.DUMMYFUNCTION("""COMPUTED_VALUE"""),"Player")</f>
        <v>Player</v>
      </c>
      <c r="F23" s="9" t="str">
        <f ca="1">IFERROR(__xludf.DUMMYFUNCTION("""COMPUTED_VALUE"""),"Tsolakidou, Stavroula")</f>
        <v>Tsolakidou, Stavroula</v>
      </c>
      <c r="G23" s="9" t="str">
        <f ca="1">IFERROR(__xludf.DUMMYFUNCTION("""COMPUTED_VALUE"""),"GRE")</f>
        <v>GRE</v>
      </c>
      <c r="H23" s="9" t="str">
        <f ca="1">IFERROR(__xludf.DUMMYFUNCTION("""COMPUTED_VALUE"""),"IM")</f>
        <v>IM</v>
      </c>
      <c r="I23" s="9"/>
      <c r="J23" s="9">
        <f ca="1">IFERROR(__xludf.DUMMYFUNCTION("""COMPUTED_VALUE"""),100)</f>
        <v>100</v>
      </c>
      <c r="K23" s="9"/>
      <c r="L23" s="9"/>
      <c r="M23" s="9" t="str">
        <f ca="1">IFERROR(__xludf.DUMMYFUNCTION("""COMPUTED_VALUE"""),"MSK CENTAR")</f>
        <v>MSK CENTAR</v>
      </c>
      <c r="N23" s="9" t="str">
        <f ca="1">IFERROR(__xludf.DUMMYFUNCTION("""COMPUTED_VALUE"""),"MKD")</f>
        <v>MKD</v>
      </c>
      <c r="O23" s="9" t="str">
        <f ca="1">IFERROR(__xludf.DUMMYFUNCTION("""COMPUTED_VALUE"""),"Terme")</f>
        <v>Terme</v>
      </c>
      <c r="P23" s="9" t="str">
        <f ca="1">IFERROR(__xludf.DUMMYFUNCTION("""COMPUTED_VALUE"""),"Double")</f>
        <v>Double</v>
      </c>
      <c r="Q23" s="9" t="str">
        <f ca="1">IFERROR(__xludf.DUMMYFUNCTION("""COMPUTED_VALUE"""),"Narva, Mai")</f>
        <v>Narva, Mai</v>
      </c>
      <c r="R23" s="9">
        <f ca="1">IFERROR(__xludf.DUMMYFUNCTION("""COMPUTED_VALUE"""),82)</f>
        <v>82</v>
      </c>
      <c r="S23" s="9" t="str">
        <f ca="1">IFERROR(__xludf.DUMMYFUNCTION("""COMPUTED_VALUE"""),"19/10/2024")</f>
        <v>19/10/2024</v>
      </c>
      <c r="T23" s="9" t="str">
        <f ca="1">IFERROR(__xludf.DUMMYFUNCTION("""COMPUTED_VALUE"""),"27/10/2024")</f>
        <v>27/10/2024</v>
      </c>
      <c r="U23" s="9">
        <f ca="1">IFERROR(__xludf.DUMMYFUNCTION("""COMPUTED_VALUE"""),8)</f>
        <v>8</v>
      </c>
      <c r="V23" s="9">
        <f ca="1">IFERROR(__xludf.DUMMYFUNCTION("""COMPUTED_VALUE"""),656)</f>
        <v>656</v>
      </c>
      <c r="W23" s="9">
        <f ca="1">IFERROR(__xludf.DUMMYFUNCTION("""COMPUTED_VALUE"""),12.8)</f>
        <v>12.8</v>
      </c>
      <c r="X23" s="9">
        <f ca="1">IFERROR(__xludf.DUMMYFUNCTION("""COMPUTED_VALUE"""),668.8)</f>
        <v>668.8</v>
      </c>
      <c r="Y23" s="9"/>
      <c r="Z23" s="9"/>
      <c r="AA23" s="9"/>
      <c r="AB23" s="9"/>
      <c r="AC23" s="9"/>
      <c r="AD23" s="20" t="str">
        <f ca="1">IFERROR(__xludf.DUMMYFUNCTION("""COMPUTED_VALUE"""),"YES")</f>
        <v>YES</v>
      </c>
      <c r="AE23" s="10" t="s">
        <v>8</v>
      </c>
      <c r="AF23" s="11"/>
      <c r="AG23" s="11"/>
      <c r="AH23" s="11"/>
      <c r="AI23" s="11"/>
      <c r="AJ23" s="2"/>
    </row>
    <row r="24" spans="1:36" ht="14.4" customHeight="1" x14ac:dyDescent="0.25">
      <c r="A24" s="9">
        <f ca="1">IFERROR(__xludf.DUMMYFUNCTION("""COMPUTED_VALUE"""),23)</f>
        <v>23</v>
      </c>
      <c r="B24" s="9"/>
      <c r="C24" s="9"/>
      <c r="D24" s="24">
        <f ca="1">IFERROR(__xludf.DUMMYFUNCTION("""COMPUTED_VALUE"""),45481)</f>
        <v>45481</v>
      </c>
      <c r="E24" s="23" t="str">
        <f ca="1">IFERROR(__xludf.DUMMYFUNCTION("""COMPUTED_VALUE"""),"Player")</f>
        <v>Player</v>
      </c>
      <c r="F24" s="9" t="str">
        <f ca="1">IFERROR(__xludf.DUMMYFUNCTION("""COMPUTED_VALUE"""),"Narva, Mai")</f>
        <v>Narva, Mai</v>
      </c>
      <c r="G24" s="9" t="str">
        <f ca="1">IFERROR(__xludf.DUMMYFUNCTION("""COMPUTED_VALUE"""),"EST")</f>
        <v>EST</v>
      </c>
      <c r="H24" s="9" t="str">
        <f ca="1">IFERROR(__xludf.DUMMYFUNCTION("""COMPUTED_VALUE"""),"IM")</f>
        <v>IM</v>
      </c>
      <c r="I24" s="9"/>
      <c r="J24" s="9">
        <f ca="1">IFERROR(__xludf.DUMMYFUNCTION("""COMPUTED_VALUE"""),100)</f>
        <v>100</v>
      </c>
      <c r="K24" s="9"/>
      <c r="L24" s="9"/>
      <c r="M24" s="9" t="str">
        <f ca="1">IFERROR(__xludf.DUMMYFUNCTION("""COMPUTED_VALUE"""),"MSK CENTAR")</f>
        <v>MSK CENTAR</v>
      </c>
      <c r="N24" s="9" t="str">
        <f ca="1">IFERROR(__xludf.DUMMYFUNCTION("""COMPUTED_VALUE"""),"MKD")</f>
        <v>MKD</v>
      </c>
      <c r="O24" s="9" t="str">
        <f ca="1">IFERROR(__xludf.DUMMYFUNCTION("""COMPUTED_VALUE"""),"Terme")</f>
        <v>Terme</v>
      </c>
      <c r="P24" s="9" t="str">
        <f ca="1">IFERROR(__xludf.DUMMYFUNCTION("""COMPUTED_VALUE"""),"Double")</f>
        <v>Double</v>
      </c>
      <c r="Q24" s="9" t="str">
        <f ca="1">IFERROR(__xludf.DUMMYFUNCTION("""COMPUTED_VALUE"""),"Tsolakidou, Stavroula")</f>
        <v>Tsolakidou, Stavroula</v>
      </c>
      <c r="R24" s="9">
        <f ca="1">IFERROR(__xludf.DUMMYFUNCTION("""COMPUTED_VALUE"""),82)</f>
        <v>82</v>
      </c>
      <c r="S24" s="9" t="str">
        <f ca="1">IFERROR(__xludf.DUMMYFUNCTION("""COMPUTED_VALUE"""),"19/10/2024")</f>
        <v>19/10/2024</v>
      </c>
      <c r="T24" s="9" t="str">
        <f ca="1">IFERROR(__xludf.DUMMYFUNCTION("""COMPUTED_VALUE"""),"27/10/2024")</f>
        <v>27/10/2024</v>
      </c>
      <c r="U24" s="9">
        <f ca="1">IFERROR(__xludf.DUMMYFUNCTION("""COMPUTED_VALUE"""),8)</f>
        <v>8</v>
      </c>
      <c r="V24" s="9">
        <f ca="1">IFERROR(__xludf.DUMMYFUNCTION("""COMPUTED_VALUE"""),656)</f>
        <v>656</v>
      </c>
      <c r="W24" s="9">
        <f ca="1">IFERROR(__xludf.DUMMYFUNCTION("""COMPUTED_VALUE"""),12.8)</f>
        <v>12.8</v>
      </c>
      <c r="X24" s="9">
        <f ca="1">IFERROR(__xludf.DUMMYFUNCTION("""COMPUTED_VALUE"""),668.8)</f>
        <v>668.8</v>
      </c>
      <c r="Y24" s="9"/>
      <c r="Z24" s="9"/>
      <c r="AA24" s="9"/>
      <c r="AB24" s="9"/>
      <c r="AC24" s="9"/>
      <c r="AD24" s="20" t="str">
        <f ca="1">IFERROR(__xludf.DUMMYFUNCTION("""COMPUTED_VALUE"""),"YES")</f>
        <v>YES</v>
      </c>
      <c r="AE24" s="31" t="s">
        <v>8</v>
      </c>
      <c r="AF24" s="11"/>
      <c r="AG24" s="11"/>
      <c r="AH24" s="11"/>
      <c r="AI24" s="11"/>
      <c r="AJ24" s="2"/>
    </row>
    <row r="25" spans="1:36" ht="14.4" customHeight="1" x14ac:dyDescent="0.25">
      <c r="A25" s="9">
        <f ca="1">IFERROR(__xludf.DUMMYFUNCTION("""COMPUTED_VALUE"""),24)</f>
        <v>24</v>
      </c>
      <c r="B25" s="9"/>
      <c r="C25" s="9"/>
      <c r="D25" s="24">
        <f ca="1">IFERROR(__xludf.DUMMYFUNCTION("""COMPUTED_VALUE"""),45481)</f>
        <v>45481</v>
      </c>
      <c r="E25" s="23" t="str">
        <f ca="1">IFERROR(__xludf.DUMMYFUNCTION("""COMPUTED_VALUE"""),"Player")</f>
        <v>Player</v>
      </c>
      <c r="F25" s="9" t="str">
        <f ca="1">IFERROR(__xludf.DUMMYFUNCTION("""COMPUTED_VALUE"""),"Krasteva, Beloslava")</f>
        <v>Krasteva, Beloslava</v>
      </c>
      <c r="G25" s="9" t="str">
        <f ca="1">IFERROR(__xludf.DUMMYFUNCTION("""COMPUTED_VALUE"""),"BUL")</f>
        <v>BUL</v>
      </c>
      <c r="H25" s="9" t="str">
        <f ca="1">IFERROR(__xludf.DUMMYFUNCTION("""COMPUTED_VALUE"""),"WGM")</f>
        <v>WGM</v>
      </c>
      <c r="I25" s="9"/>
      <c r="J25" s="9">
        <f ca="1">IFERROR(__xludf.DUMMYFUNCTION("""COMPUTED_VALUE"""),100)</f>
        <v>100</v>
      </c>
      <c r="K25" s="9"/>
      <c r="L25" s="9"/>
      <c r="M25" s="9" t="str">
        <f ca="1">IFERROR(__xludf.DUMMYFUNCTION("""COMPUTED_VALUE"""),"MSK CENTAR")</f>
        <v>MSK CENTAR</v>
      </c>
      <c r="N25" s="9" t="str">
        <f ca="1">IFERROR(__xludf.DUMMYFUNCTION("""COMPUTED_VALUE"""),"MKD")</f>
        <v>MKD</v>
      </c>
      <c r="O25" s="9" t="str">
        <f ca="1">IFERROR(__xludf.DUMMYFUNCTION("""COMPUTED_VALUE"""),"Terme")</f>
        <v>Terme</v>
      </c>
      <c r="P25" s="9" t="str">
        <f ca="1">IFERROR(__xludf.DUMMYFUNCTION("""COMPUTED_VALUE"""),"Double")</f>
        <v>Double</v>
      </c>
      <c r="Q25" s="9" t="str">
        <f ca="1">IFERROR(__xludf.DUMMYFUNCTION("""COMPUTED_VALUE"""),"Radeva, Viktoria")</f>
        <v>Radeva, Viktoria</v>
      </c>
      <c r="R25" s="9">
        <f ca="1">IFERROR(__xludf.DUMMYFUNCTION("""COMPUTED_VALUE"""),82)</f>
        <v>82</v>
      </c>
      <c r="S25" s="9" t="str">
        <f ca="1">IFERROR(__xludf.DUMMYFUNCTION("""COMPUTED_VALUE"""),"19/10/2024")</f>
        <v>19/10/2024</v>
      </c>
      <c r="T25" s="9" t="str">
        <f ca="1">IFERROR(__xludf.DUMMYFUNCTION("""COMPUTED_VALUE"""),"27/10/2024")</f>
        <v>27/10/2024</v>
      </c>
      <c r="U25" s="9">
        <f ca="1">IFERROR(__xludf.DUMMYFUNCTION("""COMPUTED_VALUE"""),8)</f>
        <v>8</v>
      </c>
      <c r="V25" s="9">
        <f ca="1">IFERROR(__xludf.DUMMYFUNCTION("""COMPUTED_VALUE"""),656)</f>
        <v>656</v>
      </c>
      <c r="W25" s="9">
        <f ca="1">IFERROR(__xludf.DUMMYFUNCTION("""COMPUTED_VALUE"""),12.8)</f>
        <v>12.8</v>
      </c>
      <c r="X25" s="9">
        <f ca="1">IFERROR(__xludf.DUMMYFUNCTION("""COMPUTED_VALUE"""),668.8)</f>
        <v>668.8</v>
      </c>
      <c r="Y25" s="9"/>
      <c r="Z25" s="9"/>
      <c r="AA25" s="9"/>
      <c r="AB25" s="9"/>
      <c r="AC25" s="9"/>
      <c r="AD25" s="20"/>
      <c r="AE25" s="10"/>
      <c r="AF25" s="11"/>
      <c r="AG25" s="11"/>
      <c r="AH25" s="11"/>
      <c r="AI25" s="11"/>
      <c r="AJ25" s="2"/>
    </row>
    <row r="26" spans="1:36" ht="14.4" customHeight="1" x14ac:dyDescent="0.25">
      <c r="A26" s="9">
        <f ca="1">IFERROR(__xludf.DUMMYFUNCTION("""COMPUTED_VALUE"""),25)</f>
        <v>25</v>
      </c>
      <c r="B26" s="9"/>
      <c r="C26" s="9"/>
      <c r="D26" s="24">
        <f ca="1">IFERROR(__xludf.DUMMYFUNCTION("""COMPUTED_VALUE"""),45481)</f>
        <v>45481</v>
      </c>
      <c r="E26" s="23" t="str">
        <f ca="1">IFERROR(__xludf.DUMMYFUNCTION("""COMPUTED_VALUE"""),"Player")</f>
        <v>Player</v>
      </c>
      <c r="F26" s="9" t="str">
        <f ca="1">IFERROR(__xludf.DUMMYFUNCTION("""COMPUTED_VALUE"""),"Radeva, Viktoria")</f>
        <v>Radeva, Viktoria</v>
      </c>
      <c r="G26" s="9" t="str">
        <f ca="1">IFERROR(__xludf.DUMMYFUNCTION("""COMPUTED_VALUE"""),"BUL")</f>
        <v>BUL</v>
      </c>
      <c r="H26" s="9" t="str">
        <f ca="1">IFERROR(__xludf.DUMMYFUNCTION("""COMPUTED_VALUE"""),"WGM")</f>
        <v>WGM</v>
      </c>
      <c r="I26" s="9"/>
      <c r="J26" s="9">
        <f ca="1">IFERROR(__xludf.DUMMYFUNCTION("""COMPUTED_VALUE"""),100)</f>
        <v>100</v>
      </c>
      <c r="K26" s="9"/>
      <c r="L26" s="9"/>
      <c r="M26" s="9" t="str">
        <f ca="1">IFERROR(__xludf.DUMMYFUNCTION("""COMPUTED_VALUE"""),"MSK CENTAR")</f>
        <v>MSK CENTAR</v>
      </c>
      <c r="N26" s="9" t="str">
        <f ca="1">IFERROR(__xludf.DUMMYFUNCTION("""COMPUTED_VALUE"""),"MKD")</f>
        <v>MKD</v>
      </c>
      <c r="O26" s="9" t="str">
        <f ca="1">IFERROR(__xludf.DUMMYFUNCTION("""COMPUTED_VALUE"""),"Terme")</f>
        <v>Terme</v>
      </c>
      <c r="P26" s="9" t="str">
        <f ca="1">IFERROR(__xludf.DUMMYFUNCTION("""COMPUTED_VALUE"""),"Double")</f>
        <v>Double</v>
      </c>
      <c r="Q26" s="9" t="str">
        <f ca="1">IFERROR(__xludf.DUMMYFUNCTION("""COMPUTED_VALUE"""),"Krasteva, Beloslava")</f>
        <v>Krasteva, Beloslava</v>
      </c>
      <c r="R26" s="9">
        <f ca="1">IFERROR(__xludf.DUMMYFUNCTION("""COMPUTED_VALUE"""),82)</f>
        <v>82</v>
      </c>
      <c r="S26" s="9" t="str">
        <f ca="1">IFERROR(__xludf.DUMMYFUNCTION("""COMPUTED_VALUE"""),"19/10/2024")</f>
        <v>19/10/2024</v>
      </c>
      <c r="T26" s="9" t="str">
        <f ca="1">IFERROR(__xludf.DUMMYFUNCTION("""COMPUTED_VALUE"""),"27/10/2024")</f>
        <v>27/10/2024</v>
      </c>
      <c r="U26" s="9">
        <f ca="1">IFERROR(__xludf.DUMMYFUNCTION("""COMPUTED_VALUE"""),8)</f>
        <v>8</v>
      </c>
      <c r="V26" s="9">
        <f ca="1">IFERROR(__xludf.DUMMYFUNCTION("""COMPUTED_VALUE"""),656)</f>
        <v>656</v>
      </c>
      <c r="W26" s="9">
        <f ca="1">IFERROR(__xludf.DUMMYFUNCTION("""COMPUTED_VALUE"""),12.8)</f>
        <v>12.8</v>
      </c>
      <c r="X26" s="9">
        <f ca="1">IFERROR(__xludf.DUMMYFUNCTION("""COMPUTED_VALUE"""),668.8)</f>
        <v>668.8</v>
      </c>
      <c r="Y26" s="9"/>
      <c r="Z26" s="9"/>
      <c r="AA26" s="9"/>
      <c r="AB26" s="9"/>
      <c r="AC26" s="9"/>
      <c r="AD26" s="20"/>
      <c r="AE26" s="10"/>
      <c r="AF26" s="11"/>
      <c r="AG26" s="11"/>
      <c r="AH26" s="11"/>
      <c r="AI26" s="11"/>
      <c r="AJ26" s="2"/>
    </row>
    <row r="27" spans="1:36" ht="14.4" customHeight="1" x14ac:dyDescent="0.25">
      <c r="A27" s="9">
        <f ca="1">IFERROR(__xludf.DUMMYFUNCTION("""COMPUTED_VALUE"""),26)</f>
        <v>26</v>
      </c>
      <c r="B27" s="9"/>
      <c r="C27" s="9"/>
      <c r="D27" s="24">
        <f ca="1">IFERROR(__xludf.DUMMYFUNCTION("""COMPUTED_VALUE"""),45481)</f>
        <v>45481</v>
      </c>
      <c r="E27" s="23" t="s">
        <v>0</v>
      </c>
      <c r="F27" s="9" t="str">
        <f ca="1">IFERROR(__xludf.DUMMYFUNCTION("""COMPUTED_VALUE"""),"Stojcevski, Zoran")</f>
        <v>Stojcevski, Zoran</v>
      </c>
      <c r="G27" s="9" t="str">
        <f ca="1">IFERROR(__xludf.DUMMYFUNCTION("""COMPUTED_VALUE"""),"MKD")</f>
        <v>MKD</v>
      </c>
      <c r="H27" s="9" t="str">
        <f ca="1">IFERROR(__xludf.DUMMYFUNCTION("""COMPUTED_VALUE"""),"FM")</f>
        <v>FM</v>
      </c>
      <c r="I27" s="9"/>
      <c r="J27" s="9">
        <f ca="1">IFERROR(__xludf.DUMMYFUNCTION("""COMPUTED_VALUE"""),100)</f>
        <v>100</v>
      </c>
      <c r="K27" s="9"/>
      <c r="L27" s="9"/>
      <c r="M27" s="9" t="str">
        <f ca="1">IFERROR(__xludf.DUMMYFUNCTION("""COMPUTED_VALUE"""),"MSK CENTAR")</f>
        <v>MSK CENTAR</v>
      </c>
      <c r="N27" s="9" t="str">
        <f ca="1">IFERROR(__xludf.DUMMYFUNCTION("""COMPUTED_VALUE"""),"MKD")</f>
        <v>MKD</v>
      </c>
      <c r="O27" s="9" t="str">
        <f ca="1">IFERROR(__xludf.DUMMYFUNCTION("""COMPUTED_VALUE"""),"Terme")</f>
        <v>Terme</v>
      </c>
      <c r="P27" s="9" t="str">
        <f ca="1">IFERROR(__xludf.DUMMYFUNCTION("""COMPUTED_VALUE"""),"Single")</f>
        <v>Single</v>
      </c>
      <c r="Q27" s="9"/>
      <c r="R27" s="9">
        <f ca="1">IFERROR(__xludf.DUMMYFUNCTION("""COMPUTED_VALUE"""),104)</f>
        <v>104</v>
      </c>
      <c r="S27" s="9" t="str">
        <f ca="1">IFERROR(__xludf.DUMMYFUNCTION("""COMPUTED_VALUE"""),"19/10/2024")</f>
        <v>19/10/2024</v>
      </c>
      <c r="T27" s="9" t="str">
        <f ca="1">IFERROR(__xludf.DUMMYFUNCTION("""COMPUTED_VALUE"""),"27/10/2024")</f>
        <v>27/10/2024</v>
      </c>
      <c r="U27" s="9">
        <f ca="1">IFERROR(__xludf.DUMMYFUNCTION("""COMPUTED_VALUE"""),8)</f>
        <v>8</v>
      </c>
      <c r="V27" s="9">
        <f ca="1">IFERROR(__xludf.DUMMYFUNCTION("""COMPUTED_VALUE"""),832)</f>
        <v>832</v>
      </c>
      <c r="W27" s="9">
        <f ca="1">IFERROR(__xludf.DUMMYFUNCTION("""COMPUTED_VALUE"""),12.8)</f>
        <v>12.8</v>
      </c>
      <c r="X27" s="9">
        <f ca="1">IFERROR(__xludf.DUMMYFUNCTION("""COMPUTED_VALUE"""),844.8)</f>
        <v>844.8</v>
      </c>
      <c r="Y27" s="9"/>
      <c r="Z27" s="9"/>
      <c r="AA27" s="9"/>
      <c r="AB27" s="9"/>
      <c r="AC27" s="9"/>
      <c r="AD27" s="20"/>
      <c r="AE27" s="10"/>
      <c r="AF27" s="11"/>
      <c r="AG27" s="11"/>
      <c r="AH27" s="11"/>
      <c r="AI27" s="11"/>
      <c r="AJ27" s="2"/>
    </row>
    <row r="28" spans="1:36" ht="14.4" customHeight="1" x14ac:dyDescent="0.25">
      <c r="A28" s="9">
        <f ca="1">IFERROR(__xludf.DUMMYFUNCTION("""COMPUTED_VALUE"""),27)</f>
        <v>27</v>
      </c>
      <c r="B28" s="9"/>
      <c r="C28" s="9"/>
      <c r="D28" s="9" t="str">
        <f ca="1">IFERROR(__xludf.DUMMYFUNCTION("""COMPUTED_VALUE"""),"14/08/2024")</f>
        <v>14/08/2024</v>
      </c>
      <c r="E28" s="23" t="str">
        <f ca="1">IFERROR(__xludf.DUMMYFUNCTION("""COMPUTED_VALUE"""),"Player")</f>
        <v>Player</v>
      </c>
      <c r="F28" s="9" t="str">
        <f ca="1">IFERROR(__xludf.DUMMYFUNCTION("""COMPUTED_VALUE"""),"Kanyamarala, Trisha")</f>
        <v>Kanyamarala, Trisha</v>
      </c>
      <c r="G28" s="9" t="str">
        <f ca="1">IFERROR(__xludf.DUMMYFUNCTION("""COMPUTED_VALUE"""),"IRL")</f>
        <v>IRL</v>
      </c>
      <c r="H28" s="9" t="str">
        <f ca="1">IFERROR(__xludf.DUMMYFUNCTION("""COMPUTED_VALUE"""),"WIM")</f>
        <v>WIM</v>
      </c>
      <c r="I28" s="9"/>
      <c r="J28" s="9">
        <f ca="1">IFERROR(__xludf.DUMMYFUNCTION("""COMPUTED_VALUE"""),100)</f>
        <v>100</v>
      </c>
      <c r="K28" s="9"/>
      <c r="L28" s="9"/>
      <c r="M28" s="9" t="s">
        <v>3</v>
      </c>
      <c r="N28" s="9" t="str">
        <f ca="1">IFERROR(__xludf.DUMMYFUNCTION("""COMPUTED_VALUE"""),"ENG")</f>
        <v>ENG</v>
      </c>
      <c r="O28" s="9" t="str">
        <f ca="1">IFERROR(__xludf.DUMMYFUNCTION("""COMPUTED_VALUE"""),"Fontana")</f>
        <v>Fontana</v>
      </c>
      <c r="P28" s="25" t="str">
        <f ca="1">IFERROR(__xludf.DUMMYFUNCTION("""COMPUTED_VALUE"""),"Double")</f>
        <v>Double</v>
      </c>
      <c r="Q28" s="9" t="str">
        <f ca="1">IFERROR(__xludf.DUMMYFUNCTION("""COMPUTED_VALUE"""),"Tarun Kanyamarala")</f>
        <v>Tarun Kanyamarala</v>
      </c>
      <c r="R28" s="9">
        <f ca="1">IFERROR(__xludf.DUMMYFUNCTION("""COMPUTED_VALUE"""),84)</f>
        <v>84</v>
      </c>
      <c r="S28" s="9" t="str">
        <f ca="1">IFERROR(__xludf.DUMMYFUNCTION("""COMPUTED_VALUE"""),"19/10/2024")</f>
        <v>19/10/2024</v>
      </c>
      <c r="T28" s="9" t="str">
        <f ca="1">IFERROR(__xludf.DUMMYFUNCTION("""COMPUTED_VALUE"""),"27/10/2024")</f>
        <v>27/10/2024</v>
      </c>
      <c r="U28" s="9">
        <f ca="1">IFERROR(__xludf.DUMMYFUNCTION("""COMPUTED_VALUE"""),8)</f>
        <v>8</v>
      </c>
      <c r="V28" s="9">
        <f ca="1">IFERROR(__xludf.DUMMYFUNCTION("""COMPUTED_VALUE"""),672)</f>
        <v>672</v>
      </c>
      <c r="W28" s="9">
        <f ca="1">IFERROR(__xludf.DUMMYFUNCTION("""COMPUTED_VALUE"""),12.8)</f>
        <v>12.8</v>
      </c>
      <c r="X28" s="9">
        <f ca="1">IFERROR(__xludf.DUMMYFUNCTION("""COMPUTED_VALUE"""),684.8)</f>
        <v>684.8</v>
      </c>
      <c r="Y28" s="9"/>
      <c r="Z28" s="9"/>
      <c r="AA28" s="9"/>
      <c r="AB28" s="9" t="str">
        <f ca="1">IFERROR(__xludf.DUMMYFUNCTION("""COMPUTED_VALUE"""),"Odvojeni kreveti / twin")</f>
        <v>Odvojeni kreveti / twin</v>
      </c>
      <c r="AC28" s="9"/>
      <c r="AD28" s="20" t="str">
        <f ca="1">IFERROR(__xludf.DUMMYFUNCTION("""COMPUTED_VALUE"""),"YES")</f>
        <v>YES</v>
      </c>
      <c r="AE28" s="10" t="str">
        <f ca="1">IFERROR(__xludf.DUMMYFUNCTION("""COMPUTED_VALUE"""),"Beograd")</f>
        <v>Beograd</v>
      </c>
      <c r="AF28" s="11" t="str">
        <f ca="1">IFERROR(__xludf.DUMMYFUNCTION("""COMPUTED_VALUE"""),"W64045")</f>
        <v>W64045</v>
      </c>
      <c r="AG28" s="11" t="str">
        <f ca="1">IFERROR(__xludf.DUMMYFUNCTION("""COMPUTED_VALUE"""),"27/10/2024")</f>
        <v>27/10/2024</v>
      </c>
      <c r="AH28" s="12">
        <f ca="1">IFERROR(__xludf.DUMMYFUNCTION("""COMPUTED_VALUE"""),0.538194444444444)</f>
        <v>0.53819444444444398</v>
      </c>
      <c r="AI28" s="11"/>
      <c r="AJ28" s="2"/>
    </row>
    <row r="29" spans="1:36" ht="14.4" customHeight="1" x14ac:dyDescent="0.25">
      <c r="A29" s="9">
        <f ca="1">IFERROR(__xludf.DUMMYFUNCTION("""COMPUTED_VALUE"""),28)</f>
        <v>28</v>
      </c>
      <c r="B29" s="9"/>
      <c r="C29" s="9"/>
      <c r="D29" s="9" t="str">
        <f ca="1">IFERROR(__xludf.DUMMYFUNCTION("""COMPUTED_VALUE"""),"14/08/2024")</f>
        <v>14/08/2024</v>
      </c>
      <c r="E29" s="23" t="str">
        <f ca="1">IFERROR(__xludf.DUMMYFUNCTION("""COMPUTED_VALUE"""),"Player")</f>
        <v>Player</v>
      </c>
      <c r="F29" s="9" t="str">
        <f ca="1">IFERROR(__xludf.DUMMYFUNCTION("""COMPUTED_VALUE"""),"Varney, Zoe")</f>
        <v>Varney, Zoe</v>
      </c>
      <c r="G29" s="9" t="str">
        <f ca="1">IFERROR(__xludf.DUMMYFUNCTION("""COMPUTED_VALUE"""),"ENG")</f>
        <v>ENG</v>
      </c>
      <c r="H29" s="9" t="str">
        <f ca="1">IFERROR(__xludf.DUMMYFUNCTION("""COMPUTED_VALUE"""),"WFM")</f>
        <v>WFM</v>
      </c>
      <c r="I29" s="9"/>
      <c r="J29" s="9">
        <f ca="1">IFERROR(__xludf.DUMMYFUNCTION("""COMPUTED_VALUE"""),100)</f>
        <v>100</v>
      </c>
      <c r="K29" s="9"/>
      <c r="L29" s="9"/>
      <c r="M29" s="9" t="s">
        <v>3</v>
      </c>
      <c r="N29" s="9" t="str">
        <f ca="1">IFERROR(__xludf.DUMMYFUNCTION("""COMPUTED_VALUE"""),"ENG")</f>
        <v>ENG</v>
      </c>
      <c r="O29" s="9" t="str">
        <f ca="1">IFERROR(__xludf.DUMMYFUNCTION("""COMPUTED_VALUE"""),"Fontana")</f>
        <v>Fontana</v>
      </c>
      <c r="P29" s="25" t="str">
        <f ca="1">IFERROR(__xludf.DUMMYFUNCTION("""COMPUTED_VALUE"""),"Single")</f>
        <v>Single</v>
      </c>
      <c r="Q29" s="9"/>
      <c r="R29" s="9">
        <f ca="1">IFERROR(__xludf.DUMMYFUNCTION("""COMPUTED_VALUE"""),104)</f>
        <v>104</v>
      </c>
      <c r="S29" s="9" t="str">
        <f ca="1">IFERROR(__xludf.DUMMYFUNCTION("""COMPUTED_VALUE"""),"19/10/2024")</f>
        <v>19/10/2024</v>
      </c>
      <c r="T29" s="9" t="str">
        <f ca="1">IFERROR(__xludf.DUMMYFUNCTION("""COMPUTED_VALUE"""),"27/10/2024")</f>
        <v>27/10/2024</v>
      </c>
      <c r="U29" s="9">
        <f ca="1">IFERROR(__xludf.DUMMYFUNCTION("""COMPUTED_VALUE"""),8)</f>
        <v>8</v>
      </c>
      <c r="V29" s="9">
        <f ca="1">IFERROR(__xludf.DUMMYFUNCTION("""COMPUTED_VALUE"""),832)</f>
        <v>832</v>
      </c>
      <c r="W29" s="9">
        <f ca="1">IFERROR(__xludf.DUMMYFUNCTION("""COMPUTED_VALUE"""),12.8)</f>
        <v>12.8</v>
      </c>
      <c r="X29" s="9">
        <f ca="1">IFERROR(__xludf.DUMMYFUNCTION("""COMPUTED_VALUE"""),844.8)</f>
        <v>844.8</v>
      </c>
      <c r="Y29" s="9"/>
      <c r="Z29" s="9"/>
      <c r="AA29" s="9"/>
      <c r="AB29" s="9"/>
      <c r="AC29" s="9"/>
      <c r="AD29" s="20" t="str">
        <f ca="1">IFERROR(__xludf.DUMMYFUNCTION("""COMPUTED_VALUE"""),"YES")</f>
        <v>YES</v>
      </c>
      <c r="AE29" s="10" t="str">
        <f ca="1">IFERROR(__xludf.DUMMYFUNCTION("""COMPUTED_VALUE"""),"Beograd")</f>
        <v>Beograd</v>
      </c>
      <c r="AF29" s="11" t="str">
        <f ca="1">IFERROR(__xludf.DUMMYFUNCTION("""COMPUTED_VALUE"""),"JU210")</f>
        <v>JU210</v>
      </c>
      <c r="AG29" s="11" t="str">
        <f ca="1">IFERROR(__xludf.DUMMYFUNCTION("""COMPUTED_VALUE"""),"27/10/2024")</f>
        <v>27/10/2024</v>
      </c>
      <c r="AH29" s="12">
        <f ca="1">IFERROR(__xludf.DUMMYFUNCTION("""COMPUTED_VALUE"""),0.430555555555555)</f>
        <v>0.43055555555555503</v>
      </c>
      <c r="AI29" s="11"/>
      <c r="AJ29" s="2"/>
    </row>
    <row r="30" spans="1:36" ht="14.4" customHeight="1" x14ac:dyDescent="0.25">
      <c r="A30" s="9">
        <f ca="1">IFERROR(__xludf.DUMMYFUNCTION("""COMPUTED_VALUE"""),29)</f>
        <v>29</v>
      </c>
      <c r="B30" s="9"/>
      <c r="C30" s="9"/>
      <c r="D30" s="9" t="str">
        <f ca="1">IFERROR(__xludf.DUMMYFUNCTION("""COMPUTED_VALUE"""),"14/08/2024")</f>
        <v>14/08/2024</v>
      </c>
      <c r="E30" s="23" t="str">
        <f ca="1">IFERROR(__xludf.DUMMYFUNCTION("""COMPUTED_VALUE"""),"Player")</f>
        <v>Player</v>
      </c>
      <c r="F30" s="9" t="str">
        <f ca="1">IFERROR(__xludf.DUMMYFUNCTION("""COMPUTED_VALUE"""),"Rida, Ruqayyah")</f>
        <v>Rida, Ruqayyah</v>
      </c>
      <c r="G30" s="9" t="str">
        <f ca="1">IFERROR(__xludf.DUMMYFUNCTION("""COMPUTED_VALUE"""),"ENG")</f>
        <v>ENG</v>
      </c>
      <c r="H30" s="9" t="str">
        <f ca="1">IFERROR(__xludf.DUMMYFUNCTION("""COMPUTED_VALUE"""),"WFM")</f>
        <v>WFM</v>
      </c>
      <c r="I30" s="9"/>
      <c r="J30" s="9">
        <f ca="1">IFERROR(__xludf.DUMMYFUNCTION("""COMPUTED_VALUE"""),100)</f>
        <v>100</v>
      </c>
      <c r="K30" s="9"/>
      <c r="L30" s="9"/>
      <c r="M30" s="9" t="s">
        <v>3</v>
      </c>
      <c r="N30" s="9" t="str">
        <f ca="1">IFERROR(__xludf.DUMMYFUNCTION("""COMPUTED_VALUE"""),"ENG")</f>
        <v>ENG</v>
      </c>
      <c r="O30" s="9" t="str">
        <f ca="1">IFERROR(__xludf.DUMMYFUNCTION("""COMPUTED_VALUE"""),"Fontana")</f>
        <v>Fontana</v>
      </c>
      <c r="P30" s="25" t="str">
        <f ca="1">IFERROR(__xludf.DUMMYFUNCTION("""COMPUTED_VALUE"""),"Double")</f>
        <v>Double</v>
      </c>
      <c r="Q30" s="9" t="str">
        <f ca="1">IFERROR(__xludf.DUMMYFUNCTION("""COMPUTED_VALUE"""),"Mohammad Rezaul Islam")</f>
        <v>Mohammad Rezaul Islam</v>
      </c>
      <c r="R30" s="9">
        <f ca="1">IFERROR(__xludf.DUMMYFUNCTION("""COMPUTED_VALUE"""),84)</f>
        <v>84</v>
      </c>
      <c r="S30" s="9" t="str">
        <f ca="1">IFERROR(__xludf.DUMMYFUNCTION("""COMPUTED_VALUE"""),"19/10/2024")</f>
        <v>19/10/2024</v>
      </c>
      <c r="T30" s="9" t="str">
        <f ca="1">IFERROR(__xludf.DUMMYFUNCTION("""COMPUTED_VALUE"""),"27/10/2024")</f>
        <v>27/10/2024</v>
      </c>
      <c r="U30" s="9">
        <f ca="1">IFERROR(__xludf.DUMMYFUNCTION("""COMPUTED_VALUE"""),8)</f>
        <v>8</v>
      </c>
      <c r="V30" s="9">
        <f ca="1">IFERROR(__xludf.DUMMYFUNCTION("""COMPUTED_VALUE"""),672)</f>
        <v>672</v>
      </c>
      <c r="W30" s="9">
        <f ca="1">IFERROR(__xludf.DUMMYFUNCTION("""COMPUTED_VALUE"""),12.8)</f>
        <v>12.8</v>
      </c>
      <c r="X30" s="9">
        <f ca="1">IFERROR(__xludf.DUMMYFUNCTION("""COMPUTED_VALUE"""),684.8)</f>
        <v>684.8</v>
      </c>
      <c r="Y30" s="9"/>
      <c r="Z30" s="9"/>
      <c r="AA30" s="9"/>
      <c r="AB30" s="9" t="str">
        <f ca="1">IFERROR(__xludf.DUMMYFUNCTION("""COMPUTED_VALUE"""),"Odvojeni kreveti / twin")</f>
        <v>Odvojeni kreveti / twin</v>
      </c>
      <c r="AC30" s="9"/>
      <c r="AD30" s="20" t="str">
        <f ca="1">IFERROR(__xludf.DUMMYFUNCTION("""COMPUTED_VALUE"""),"YES")</f>
        <v>YES</v>
      </c>
      <c r="AE30" s="10" t="str">
        <f ca="1">IFERROR(__xludf.DUMMYFUNCTION("""COMPUTED_VALUE"""),"Beograd")</f>
        <v>Beograd</v>
      </c>
      <c r="AF30" s="11" t="str">
        <f ca="1">IFERROR(__xludf.DUMMYFUNCTION("""COMPUTED_VALUE"""),"JU210")</f>
        <v>JU210</v>
      </c>
      <c r="AG30" s="11" t="str">
        <f ca="1">IFERROR(__xludf.DUMMYFUNCTION("""COMPUTED_VALUE"""),"27/10/2024")</f>
        <v>27/10/2024</v>
      </c>
      <c r="AH30" s="12">
        <f ca="1">IFERROR(__xludf.DUMMYFUNCTION("""COMPUTED_VALUE"""),0.430555555555555)</f>
        <v>0.43055555555555503</v>
      </c>
      <c r="AI30" s="11"/>
      <c r="AJ30" s="2"/>
    </row>
    <row r="31" spans="1:36" ht="14.4" customHeight="1" x14ac:dyDescent="0.25">
      <c r="A31" s="9">
        <f ca="1">IFERROR(__xludf.DUMMYFUNCTION("""COMPUTED_VALUE"""),30)</f>
        <v>30</v>
      </c>
      <c r="B31" s="9"/>
      <c r="C31" s="9"/>
      <c r="D31" s="9" t="str">
        <f ca="1">IFERROR(__xludf.DUMMYFUNCTION("""COMPUTED_VALUE"""),"14/08/2024")</f>
        <v>14/08/2024</v>
      </c>
      <c r="E31" s="23" t="str">
        <f ca="1">IFERROR(__xludf.DUMMYFUNCTION("""COMPUTED_VALUE"""),"Player")</f>
        <v>Player</v>
      </c>
      <c r="F31" s="9" t="str">
        <f ca="1">IFERROR(__xludf.DUMMYFUNCTION("""COMPUTED_VALUE"""),"Ashton, Alannah")</f>
        <v>Ashton, Alannah</v>
      </c>
      <c r="G31" s="9" t="str">
        <f ca="1">IFERROR(__xludf.DUMMYFUNCTION("""COMPUTED_VALUE"""),"ENG")</f>
        <v>ENG</v>
      </c>
      <c r="H31" s="9"/>
      <c r="I31" s="9"/>
      <c r="J31" s="9">
        <f ca="1">IFERROR(__xludf.DUMMYFUNCTION("""COMPUTED_VALUE"""),100)</f>
        <v>100</v>
      </c>
      <c r="K31" s="9"/>
      <c r="L31" s="9"/>
      <c r="M31" s="9" t="s">
        <v>3</v>
      </c>
      <c r="N31" s="9" t="str">
        <f ca="1">IFERROR(__xludf.DUMMYFUNCTION("""COMPUTED_VALUE"""),"ENG")</f>
        <v>ENG</v>
      </c>
      <c r="O31" s="9" t="str">
        <f ca="1">IFERROR(__xludf.DUMMYFUNCTION("""COMPUTED_VALUE"""),"Fontana")</f>
        <v>Fontana</v>
      </c>
      <c r="P31" s="25" t="str">
        <f ca="1">IFERROR(__xludf.DUMMYFUNCTION("""COMPUTED_VALUE"""),"Double")</f>
        <v>Double</v>
      </c>
      <c r="Q31" s="9" t="str">
        <f ca="1">IFERROR(__xludf.DUMMYFUNCTION("""COMPUTED_VALUE"""),"Yaoyao Zhu")</f>
        <v>Yaoyao Zhu</v>
      </c>
      <c r="R31" s="9">
        <f ca="1">IFERROR(__xludf.DUMMYFUNCTION("""COMPUTED_VALUE"""),84)</f>
        <v>84</v>
      </c>
      <c r="S31" s="9" t="str">
        <f ca="1">IFERROR(__xludf.DUMMYFUNCTION("""COMPUTED_VALUE"""),"18/10/2024")</f>
        <v>18/10/2024</v>
      </c>
      <c r="T31" s="9" t="str">
        <f ca="1">IFERROR(__xludf.DUMMYFUNCTION("""COMPUTED_VALUE"""),"27/10/2024")</f>
        <v>27/10/2024</v>
      </c>
      <c r="U31" s="9">
        <f ca="1">IFERROR(__xludf.DUMMYFUNCTION("""COMPUTED_VALUE"""),9)</f>
        <v>9</v>
      </c>
      <c r="V31" s="9">
        <f ca="1">IFERROR(__xludf.DUMMYFUNCTION("""COMPUTED_VALUE"""),756)</f>
        <v>756</v>
      </c>
      <c r="W31" s="9">
        <f ca="1">IFERROR(__xludf.DUMMYFUNCTION("""COMPUTED_VALUE"""),14.4)</f>
        <v>14.4</v>
      </c>
      <c r="X31" s="9">
        <f ca="1">IFERROR(__xludf.DUMMYFUNCTION("""COMPUTED_VALUE"""),770.4)</f>
        <v>770.4</v>
      </c>
      <c r="Y31" s="9"/>
      <c r="Z31" s="9"/>
      <c r="AA31" s="9"/>
      <c r="AB31" s="9" t="str">
        <f ca="1">IFERROR(__xludf.DUMMYFUNCTION("""COMPUTED_VALUE"""),"Odvojeni kreveti / twin")</f>
        <v>Odvojeni kreveti / twin</v>
      </c>
      <c r="AC31" s="9"/>
      <c r="AD31" s="20" t="str">
        <f ca="1">IFERROR(__xludf.DUMMYFUNCTION("""COMPUTED_VALUE"""),"YES")</f>
        <v>YES</v>
      </c>
      <c r="AE31" s="10" t="str">
        <f ca="1">IFERROR(__xludf.DUMMYFUNCTION("""COMPUTED_VALUE"""),"Beograd")</f>
        <v>Beograd</v>
      </c>
      <c r="AF31" s="11" t="str">
        <f ca="1">IFERROR(__xludf.DUMMYFUNCTION("""COMPUTED_VALUE"""),"LH1411")</f>
        <v>LH1411</v>
      </c>
      <c r="AG31" s="11" t="str">
        <f ca="1">IFERROR(__xludf.DUMMYFUNCTION("""COMPUTED_VALUE"""),"27/10/2024")</f>
        <v>27/10/2024</v>
      </c>
      <c r="AH31" s="12">
        <f ca="1">IFERROR(__xludf.DUMMYFUNCTION("""COMPUTED_VALUE"""),0.263888888888888)</f>
        <v>0.26388888888888801</v>
      </c>
      <c r="AI31" s="11"/>
      <c r="AJ31" s="2"/>
    </row>
    <row r="32" spans="1:36" ht="14.4" customHeight="1" x14ac:dyDescent="0.25">
      <c r="A32" s="9">
        <f ca="1">IFERROR(__xludf.DUMMYFUNCTION("""COMPUTED_VALUE"""),31)</f>
        <v>31</v>
      </c>
      <c r="B32" s="9"/>
      <c r="C32" s="9"/>
      <c r="D32" s="9" t="str">
        <f ca="1">IFERROR(__xludf.DUMMYFUNCTION("""COMPUTED_VALUE"""),"14/08/2024")</f>
        <v>14/08/2024</v>
      </c>
      <c r="E32" s="23" t="str">
        <f ca="1">IFERROR(__xludf.DUMMYFUNCTION("""COMPUTED_VALUE"""),"Player")</f>
        <v>Player</v>
      </c>
      <c r="F32" s="9" t="str">
        <f ca="1">IFERROR(__xludf.DUMMYFUNCTION("""COMPUTED_VALUE"""),"Zhu, Yaoyao")</f>
        <v>Zhu, Yaoyao</v>
      </c>
      <c r="G32" s="9" t="str">
        <f ca="1">IFERROR(__xludf.DUMMYFUNCTION("""COMPUTED_VALUE"""),"ENG")</f>
        <v>ENG</v>
      </c>
      <c r="H32" s="9"/>
      <c r="I32" s="9"/>
      <c r="J32" s="9">
        <f ca="1">IFERROR(__xludf.DUMMYFUNCTION("""COMPUTED_VALUE"""),100)</f>
        <v>100</v>
      </c>
      <c r="K32" s="9"/>
      <c r="L32" s="9"/>
      <c r="M32" s="9" t="s">
        <v>3</v>
      </c>
      <c r="N32" s="9" t="str">
        <f ca="1">IFERROR(__xludf.DUMMYFUNCTION("""COMPUTED_VALUE"""),"ENG")</f>
        <v>ENG</v>
      </c>
      <c r="O32" s="9" t="str">
        <f ca="1">IFERROR(__xludf.DUMMYFUNCTION("""COMPUTED_VALUE"""),"Fontana")</f>
        <v>Fontana</v>
      </c>
      <c r="P32" s="25" t="str">
        <f ca="1">IFERROR(__xludf.DUMMYFUNCTION("""COMPUTED_VALUE"""),"Double")</f>
        <v>Double</v>
      </c>
      <c r="Q32" s="9" t="str">
        <f ca="1">IFERROR(__xludf.DUMMYFUNCTION("""COMPUTED_VALUE"""),"Alannah Ashton")</f>
        <v>Alannah Ashton</v>
      </c>
      <c r="R32" s="9">
        <f ca="1">IFERROR(__xludf.DUMMYFUNCTION("""COMPUTED_VALUE"""),84)</f>
        <v>84</v>
      </c>
      <c r="S32" s="9" t="str">
        <f ca="1">IFERROR(__xludf.DUMMYFUNCTION("""COMPUTED_VALUE"""),"18/10/2024")</f>
        <v>18/10/2024</v>
      </c>
      <c r="T32" s="9" t="str">
        <f ca="1">IFERROR(__xludf.DUMMYFUNCTION("""COMPUTED_VALUE"""),"27/10/2024")</f>
        <v>27/10/2024</v>
      </c>
      <c r="U32" s="9">
        <f ca="1">IFERROR(__xludf.DUMMYFUNCTION("""COMPUTED_VALUE"""),9)</f>
        <v>9</v>
      </c>
      <c r="V32" s="9">
        <f ca="1">IFERROR(__xludf.DUMMYFUNCTION("""COMPUTED_VALUE"""),756)</f>
        <v>756</v>
      </c>
      <c r="W32" s="9">
        <f ca="1">IFERROR(__xludf.DUMMYFUNCTION("""COMPUTED_VALUE"""),14.4)</f>
        <v>14.4</v>
      </c>
      <c r="X32" s="9">
        <f ca="1">IFERROR(__xludf.DUMMYFUNCTION("""COMPUTED_VALUE"""),770.4)</f>
        <v>770.4</v>
      </c>
      <c r="Y32" s="9"/>
      <c r="Z32" s="9"/>
      <c r="AA32" s="9"/>
      <c r="AB32" s="9" t="str">
        <f ca="1">IFERROR(__xludf.DUMMYFUNCTION("""COMPUTED_VALUE"""),"Odvojeni kreveti / twin")</f>
        <v>Odvojeni kreveti / twin</v>
      </c>
      <c r="AC32" s="9"/>
      <c r="AD32" s="20" t="str">
        <f ca="1">IFERROR(__xludf.DUMMYFUNCTION("""COMPUTED_VALUE"""),"YES")</f>
        <v>YES</v>
      </c>
      <c r="AE32" s="10" t="str">
        <f ca="1">IFERROR(__xludf.DUMMYFUNCTION("""COMPUTED_VALUE"""),"Beograd")</f>
        <v>Beograd</v>
      </c>
      <c r="AF32" s="11" t="str">
        <f ca="1">IFERROR(__xludf.DUMMYFUNCTION("""COMPUTED_VALUE"""),"LH1411")</f>
        <v>LH1411</v>
      </c>
      <c r="AG32" s="11" t="str">
        <f ca="1">IFERROR(__xludf.DUMMYFUNCTION("""COMPUTED_VALUE"""),"27/10/2024")</f>
        <v>27/10/2024</v>
      </c>
      <c r="AH32" s="12">
        <f ca="1">IFERROR(__xludf.DUMMYFUNCTION("""COMPUTED_VALUE"""),0.263888888888888)</f>
        <v>0.26388888888888801</v>
      </c>
      <c r="AI32" s="11"/>
      <c r="AJ32" s="2"/>
    </row>
    <row r="33" spans="1:36" ht="14.4" customHeight="1" x14ac:dyDescent="0.25">
      <c r="A33" s="9">
        <f ca="1">IFERROR(__xludf.DUMMYFUNCTION("""COMPUTED_VALUE"""),32)</f>
        <v>32</v>
      </c>
      <c r="B33" s="9"/>
      <c r="C33" s="9"/>
      <c r="D33" s="9" t="str">
        <f ca="1">IFERROR(__xludf.DUMMYFUNCTION("""COMPUTED_VALUE"""),"14/08/2024")</f>
        <v>14/08/2024</v>
      </c>
      <c r="E33" s="23" t="s">
        <v>0</v>
      </c>
      <c r="F33" s="9" t="str">
        <f ca="1">IFERROR(__xludf.DUMMYFUNCTION("""COMPUTED_VALUE"""),"D`Costa, Lorin")</f>
        <v>D`Costa, Lorin</v>
      </c>
      <c r="G33" s="9" t="str">
        <f ca="1">IFERROR(__xludf.DUMMYFUNCTION("""COMPUTED_VALUE"""),"ENG")</f>
        <v>ENG</v>
      </c>
      <c r="H33" s="9" t="str">
        <f ca="1">IFERROR(__xludf.DUMMYFUNCTION("""COMPUTED_VALUE"""),"IM")</f>
        <v>IM</v>
      </c>
      <c r="I33" s="9"/>
      <c r="J33" s="9">
        <f ca="1">IFERROR(__xludf.DUMMYFUNCTION("""COMPUTED_VALUE"""),100)</f>
        <v>100</v>
      </c>
      <c r="K33" s="9"/>
      <c r="L33" s="9"/>
      <c r="M33" s="9" t="s">
        <v>3</v>
      </c>
      <c r="N33" s="9" t="str">
        <f ca="1">IFERROR(__xludf.DUMMYFUNCTION("""COMPUTED_VALUE"""),"ENG")</f>
        <v>ENG</v>
      </c>
      <c r="O33" s="9" t="str">
        <f ca="1">IFERROR(__xludf.DUMMYFUNCTION("""COMPUTED_VALUE"""),"Fontana")</f>
        <v>Fontana</v>
      </c>
      <c r="P33" s="25" t="str">
        <f ca="1">IFERROR(__xludf.DUMMYFUNCTION("""COMPUTED_VALUE"""),"Single")</f>
        <v>Single</v>
      </c>
      <c r="Q33" s="9"/>
      <c r="R33" s="9">
        <f ca="1">IFERROR(__xludf.DUMMYFUNCTION("""COMPUTED_VALUE"""),104)</f>
        <v>104</v>
      </c>
      <c r="S33" s="9" t="str">
        <f ca="1">IFERROR(__xludf.DUMMYFUNCTION("""COMPUTED_VALUE"""),"19/10/2024")</f>
        <v>19/10/2024</v>
      </c>
      <c r="T33" s="9" t="str">
        <f ca="1">IFERROR(__xludf.DUMMYFUNCTION("""COMPUTED_VALUE"""),"27/10/2024")</f>
        <v>27/10/2024</v>
      </c>
      <c r="U33" s="9">
        <f ca="1">IFERROR(__xludf.DUMMYFUNCTION("""COMPUTED_VALUE"""),8)</f>
        <v>8</v>
      </c>
      <c r="V33" s="9">
        <f ca="1">IFERROR(__xludf.DUMMYFUNCTION("""COMPUTED_VALUE"""),832)</f>
        <v>832</v>
      </c>
      <c r="W33" s="9">
        <f ca="1">IFERROR(__xludf.DUMMYFUNCTION("""COMPUTED_VALUE"""),12.8)</f>
        <v>12.8</v>
      </c>
      <c r="X33" s="9">
        <f ca="1">IFERROR(__xludf.DUMMYFUNCTION("""COMPUTED_VALUE"""),844.8)</f>
        <v>844.8</v>
      </c>
      <c r="Y33" s="9"/>
      <c r="Z33" s="9"/>
      <c r="AA33" s="9"/>
      <c r="AB33" s="9"/>
      <c r="AC33" s="9"/>
      <c r="AD33" s="20" t="str">
        <f ca="1">IFERROR(__xludf.DUMMYFUNCTION("""COMPUTED_VALUE"""),"YES")</f>
        <v>YES</v>
      </c>
      <c r="AE33" s="10" t="str">
        <f ca="1">IFERROR(__xludf.DUMMYFUNCTION("""COMPUTED_VALUE"""),"Beograd")</f>
        <v>Beograd</v>
      </c>
      <c r="AF33" s="11" t="str">
        <f ca="1">IFERROR(__xludf.DUMMYFUNCTION("""COMPUTED_VALUE"""),"JU210")</f>
        <v>JU210</v>
      </c>
      <c r="AG33" s="11" t="str">
        <f ca="1">IFERROR(__xludf.DUMMYFUNCTION("""COMPUTED_VALUE"""),"27/10/2024")</f>
        <v>27/10/2024</v>
      </c>
      <c r="AH33" s="12">
        <f ca="1">IFERROR(__xludf.DUMMYFUNCTION("""COMPUTED_VALUE"""),0.430555555555555)</f>
        <v>0.43055555555555503</v>
      </c>
      <c r="AI33" s="11"/>
      <c r="AJ33" s="2"/>
    </row>
    <row r="34" spans="1:36" ht="14.4" customHeight="1" x14ac:dyDescent="0.25">
      <c r="A34" s="9">
        <f ca="1">IFERROR(__xludf.DUMMYFUNCTION("""COMPUTED_VALUE"""),33)</f>
        <v>33</v>
      </c>
      <c r="B34" s="9"/>
      <c r="C34" s="9"/>
      <c r="D34" s="9" t="str">
        <f ca="1">IFERROR(__xludf.DUMMYFUNCTION("""COMPUTED_VALUE"""),"14/08/2024")</f>
        <v>14/08/2024</v>
      </c>
      <c r="E34" s="23" t="s">
        <v>0</v>
      </c>
      <c r="F34" s="9" t="str">
        <f ca="1">IFERROR(__xludf.DUMMYFUNCTION("""COMPUTED_VALUE"""),"Kanyamarala, Tarun")</f>
        <v>Kanyamarala, Tarun</v>
      </c>
      <c r="G34" s="9" t="str">
        <f ca="1">IFERROR(__xludf.DUMMYFUNCTION("""COMPUTED_VALUE"""),"IRL")</f>
        <v>IRL</v>
      </c>
      <c r="H34" s="9"/>
      <c r="I34" s="9"/>
      <c r="J34" s="9">
        <f ca="1">IFERROR(__xludf.DUMMYFUNCTION("""COMPUTED_VALUE"""),100)</f>
        <v>100</v>
      </c>
      <c r="K34" s="9"/>
      <c r="L34" s="9"/>
      <c r="M34" s="9" t="s">
        <v>3</v>
      </c>
      <c r="N34" s="9" t="str">
        <f ca="1">IFERROR(__xludf.DUMMYFUNCTION("""COMPUTED_VALUE"""),"ENG")</f>
        <v>ENG</v>
      </c>
      <c r="O34" s="9" t="str">
        <f ca="1">IFERROR(__xludf.DUMMYFUNCTION("""COMPUTED_VALUE"""),"Fontana")</f>
        <v>Fontana</v>
      </c>
      <c r="P34" s="25" t="str">
        <f ca="1">IFERROR(__xludf.DUMMYFUNCTION("""COMPUTED_VALUE"""),"Double")</f>
        <v>Double</v>
      </c>
      <c r="Q34" s="9" t="str">
        <f ca="1">IFERROR(__xludf.DUMMYFUNCTION("""COMPUTED_VALUE"""),"Trisha Kanyamarala")</f>
        <v>Trisha Kanyamarala</v>
      </c>
      <c r="R34" s="9">
        <f ca="1">IFERROR(__xludf.DUMMYFUNCTION("""COMPUTED_VALUE"""),84)</f>
        <v>84</v>
      </c>
      <c r="S34" s="9" t="str">
        <f ca="1">IFERROR(__xludf.DUMMYFUNCTION("""COMPUTED_VALUE"""),"19/10/2024")</f>
        <v>19/10/2024</v>
      </c>
      <c r="T34" s="9" t="str">
        <f ca="1">IFERROR(__xludf.DUMMYFUNCTION("""COMPUTED_VALUE"""),"27/10/2024")</f>
        <v>27/10/2024</v>
      </c>
      <c r="U34" s="9">
        <f ca="1">IFERROR(__xludf.DUMMYFUNCTION("""COMPUTED_VALUE"""),8)</f>
        <v>8</v>
      </c>
      <c r="V34" s="9">
        <f ca="1">IFERROR(__xludf.DUMMYFUNCTION("""COMPUTED_VALUE"""),672)</f>
        <v>672</v>
      </c>
      <c r="W34" s="9">
        <f ca="1">IFERROR(__xludf.DUMMYFUNCTION("""COMPUTED_VALUE"""),12.8)</f>
        <v>12.8</v>
      </c>
      <c r="X34" s="9">
        <f ca="1">IFERROR(__xludf.DUMMYFUNCTION("""COMPUTED_VALUE"""),684.8)</f>
        <v>684.8</v>
      </c>
      <c r="Y34" s="9"/>
      <c r="Z34" s="9"/>
      <c r="AA34" s="9"/>
      <c r="AB34" s="9" t="str">
        <f ca="1">IFERROR(__xludf.DUMMYFUNCTION("""COMPUTED_VALUE"""),"Odvojeni kreveti / twin")</f>
        <v>Odvojeni kreveti / twin</v>
      </c>
      <c r="AC34" s="9"/>
      <c r="AD34" s="20" t="str">
        <f ca="1">IFERROR(__xludf.DUMMYFUNCTION("""COMPUTED_VALUE"""),"YES")</f>
        <v>YES</v>
      </c>
      <c r="AE34" s="10" t="str">
        <f ca="1">IFERROR(__xludf.DUMMYFUNCTION("""COMPUTED_VALUE"""),"Beograd")</f>
        <v>Beograd</v>
      </c>
      <c r="AF34" s="11" t="str">
        <f ca="1">IFERROR(__xludf.DUMMYFUNCTION("""COMPUTED_VALUE"""),"W64045")</f>
        <v>W64045</v>
      </c>
      <c r="AG34" s="11" t="str">
        <f ca="1">IFERROR(__xludf.DUMMYFUNCTION("""COMPUTED_VALUE"""),"27/10/2024")</f>
        <v>27/10/2024</v>
      </c>
      <c r="AH34" s="12">
        <f ca="1">IFERROR(__xludf.DUMMYFUNCTION("""COMPUTED_VALUE"""),0.538194444444444)</f>
        <v>0.53819444444444398</v>
      </c>
      <c r="AI34" s="11"/>
      <c r="AJ34" s="2"/>
    </row>
    <row r="35" spans="1:36" ht="14.4" customHeight="1" x14ac:dyDescent="0.25">
      <c r="A35" s="9">
        <f ca="1">IFERROR(__xludf.DUMMYFUNCTION("""COMPUTED_VALUE"""),34)</f>
        <v>34</v>
      </c>
      <c r="B35" s="9"/>
      <c r="C35" s="9"/>
      <c r="D35" s="9" t="str">
        <f ca="1">IFERROR(__xludf.DUMMYFUNCTION("""COMPUTED_VALUE"""),"14/08/2024")</f>
        <v>14/08/2024</v>
      </c>
      <c r="E35" s="23" t="s">
        <v>0</v>
      </c>
      <c r="F35" s="9" t="str">
        <f ca="1">IFERROR(__xludf.DUMMYFUNCTION("""COMPUTED_VALUE"""),"Islam, Mohammad Rezaul")</f>
        <v>Islam, Mohammad Rezaul</v>
      </c>
      <c r="G35" s="9" t="str">
        <f ca="1">IFERROR(__xludf.DUMMYFUNCTION("""COMPUTED_VALUE"""),"ENG")</f>
        <v>ENG</v>
      </c>
      <c r="H35" s="9"/>
      <c r="I35" s="9"/>
      <c r="J35" s="9">
        <f ca="1">IFERROR(__xludf.DUMMYFUNCTION("""COMPUTED_VALUE"""),100)</f>
        <v>100</v>
      </c>
      <c r="K35" s="9"/>
      <c r="L35" s="9"/>
      <c r="M35" s="9" t="s">
        <v>3</v>
      </c>
      <c r="N35" s="9" t="str">
        <f ca="1">IFERROR(__xludf.DUMMYFUNCTION("""COMPUTED_VALUE"""),"ENG")</f>
        <v>ENG</v>
      </c>
      <c r="O35" s="9" t="str">
        <f ca="1">IFERROR(__xludf.DUMMYFUNCTION("""COMPUTED_VALUE"""),"Fontana")</f>
        <v>Fontana</v>
      </c>
      <c r="P35" s="25" t="str">
        <f ca="1">IFERROR(__xludf.DUMMYFUNCTION("""COMPUTED_VALUE"""),"Double")</f>
        <v>Double</v>
      </c>
      <c r="Q35" s="9" t="str">
        <f ca="1">IFERROR(__xludf.DUMMYFUNCTION("""COMPUTED_VALUE"""),"Ruqayyah Rida")</f>
        <v>Ruqayyah Rida</v>
      </c>
      <c r="R35" s="9">
        <f ca="1">IFERROR(__xludf.DUMMYFUNCTION("""COMPUTED_VALUE"""),84)</f>
        <v>84</v>
      </c>
      <c r="S35" s="9" t="str">
        <f ca="1">IFERROR(__xludf.DUMMYFUNCTION("""COMPUTED_VALUE"""),"19/10/2024")</f>
        <v>19/10/2024</v>
      </c>
      <c r="T35" s="9" t="str">
        <f ca="1">IFERROR(__xludf.DUMMYFUNCTION("""COMPUTED_VALUE"""),"27/10/2024")</f>
        <v>27/10/2024</v>
      </c>
      <c r="U35" s="9">
        <f ca="1">IFERROR(__xludf.DUMMYFUNCTION("""COMPUTED_VALUE"""),8)</f>
        <v>8</v>
      </c>
      <c r="V35" s="9">
        <f ca="1">IFERROR(__xludf.DUMMYFUNCTION("""COMPUTED_VALUE"""),672)</f>
        <v>672</v>
      </c>
      <c r="W35" s="9">
        <f ca="1">IFERROR(__xludf.DUMMYFUNCTION("""COMPUTED_VALUE"""),12.8)</f>
        <v>12.8</v>
      </c>
      <c r="X35" s="9">
        <f ca="1">IFERROR(__xludf.DUMMYFUNCTION("""COMPUTED_VALUE"""),684.8)</f>
        <v>684.8</v>
      </c>
      <c r="Y35" s="9"/>
      <c r="Z35" s="9"/>
      <c r="AA35" s="9"/>
      <c r="AB35" s="9" t="str">
        <f ca="1">IFERROR(__xludf.DUMMYFUNCTION("""COMPUTED_VALUE"""),"Odvojeni kreveti / twin")</f>
        <v>Odvojeni kreveti / twin</v>
      </c>
      <c r="AC35" s="9"/>
      <c r="AD35" s="20" t="str">
        <f ca="1">IFERROR(__xludf.DUMMYFUNCTION("""COMPUTED_VALUE"""),"YES")</f>
        <v>YES</v>
      </c>
      <c r="AE35" s="10" t="str">
        <f ca="1">IFERROR(__xludf.DUMMYFUNCTION("""COMPUTED_VALUE"""),"Beograd")</f>
        <v>Beograd</v>
      </c>
      <c r="AF35" s="11" t="str">
        <f ca="1">IFERROR(__xludf.DUMMYFUNCTION("""COMPUTED_VALUE"""),"JU210")</f>
        <v>JU210</v>
      </c>
      <c r="AG35" s="11" t="str">
        <f ca="1">IFERROR(__xludf.DUMMYFUNCTION("""COMPUTED_VALUE"""),"27/10/2024")</f>
        <v>27/10/2024</v>
      </c>
      <c r="AH35" s="12">
        <f ca="1">IFERROR(__xludf.DUMMYFUNCTION("""COMPUTED_VALUE"""),0.430555555555555)</f>
        <v>0.43055555555555503</v>
      </c>
      <c r="AI35" s="11"/>
      <c r="AJ35" s="3" t="str">
        <f ca="1">IFERROR(__xludf.DUMMYFUNCTION("""COMPUTED_VALUE"""),"Csaba")</f>
        <v>Csaba</v>
      </c>
    </row>
    <row r="36" spans="1:36" ht="14.4" customHeight="1" x14ac:dyDescent="0.25">
      <c r="A36" s="9">
        <f ca="1">IFERROR(__xludf.DUMMYFUNCTION("""COMPUTED_VALUE"""),35)</f>
        <v>35</v>
      </c>
      <c r="B36" s="9"/>
      <c r="C36" s="9"/>
      <c r="D36" s="9" t="str">
        <f ca="1">IFERROR(__xludf.DUMMYFUNCTION("""COMPUTED_VALUE"""),"14/08/2024")</f>
        <v>14/08/2024</v>
      </c>
      <c r="E36" s="23" t="str">
        <f ca="1">IFERROR(__xludf.DUMMYFUNCTION("""COMPUTED_VALUE"""),"Player")</f>
        <v>Player</v>
      </c>
      <c r="F36" s="9" t="str">
        <f ca="1">IFERROR(__xludf.DUMMYFUNCTION("""COMPUTED_VALUE"""),"Dzagnidze, Nana")</f>
        <v>Dzagnidze, Nana</v>
      </c>
      <c r="G36" s="9" t="str">
        <f ca="1">IFERROR(__xludf.DUMMYFUNCTION("""COMPUTED_VALUE"""),"GEO")</f>
        <v>GEO</v>
      </c>
      <c r="H36" s="9" t="str">
        <f ca="1">IFERROR(__xludf.DUMMYFUNCTION("""COMPUTED_VALUE"""),"GM")</f>
        <v>GM</v>
      </c>
      <c r="I36" s="9"/>
      <c r="J36" s="9">
        <f ca="1">IFERROR(__xludf.DUMMYFUNCTION("""COMPUTED_VALUE"""),100)</f>
        <v>100</v>
      </c>
      <c r="K36" s="9"/>
      <c r="L36" s="9"/>
      <c r="M36" s="9" t="str">
        <f ca="1">IFERROR(__xludf.DUMMYFUNCTION("""COMPUTED_VALUE"""),"Tajfun SK")</f>
        <v>Tajfun SK</v>
      </c>
      <c r="N36" s="9" t="str">
        <f ca="1">IFERROR(__xludf.DUMMYFUNCTION("""COMPUTED_VALUE"""),"SLO")</f>
        <v>SLO</v>
      </c>
      <c r="O36" s="9" t="str">
        <f ca="1">IFERROR(__xludf.DUMMYFUNCTION("""COMPUTED_VALUE"""),"Tonanti")</f>
        <v>Tonanti</v>
      </c>
      <c r="P36" s="9" t="str">
        <f ca="1">IFERROR(__xludf.DUMMYFUNCTION("""COMPUTED_VALUE"""),"Single")</f>
        <v>Single</v>
      </c>
      <c r="Q36" s="9"/>
      <c r="R36" s="9">
        <f ca="1">IFERROR(__xludf.DUMMYFUNCTION("""COMPUTED_VALUE"""),108)</f>
        <v>108</v>
      </c>
      <c r="S36" s="9" t="str">
        <f ca="1">IFERROR(__xludf.DUMMYFUNCTION("""COMPUTED_VALUE"""),"18/10/2024")</f>
        <v>18/10/2024</v>
      </c>
      <c r="T36" s="9" t="str">
        <f ca="1">IFERROR(__xludf.DUMMYFUNCTION("""COMPUTED_VALUE"""),"27/10/2024")</f>
        <v>27/10/2024</v>
      </c>
      <c r="U36" s="9">
        <f ca="1">IFERROR(__xludf.DUMMYFUNCTION("""COMPUTED_VALUE"""),9)</f>
        <v>9</v>
      </c>
      <c r="V36" s="9">
        <f ca="1">IFERROR(__xludf.DUMMYFUNCTION("""COMPUTED_VALUE"""),972)</f>
        <v>972</v>
      </c>
      <c r="W36" s="9">
        <f ca="1">IFERROR(__xludf.DUMMYFUNCTION("""COMPUTED_VALUE"""),14.4)</f>
        <v>14.4</v>
      </c>
      <c r="X36" s="9">
        <f ca="1">IFERROR(__xludf.DUMMYFUNCTION("""COMPUTED_VALUE"""),986.4)</f>
        <v>986.4</v>
      </c>
      <c r="Y36" s="9"/>
      <c r="Z36" s="9"/>
      <c r="AA36" s="9"/>
      <c r="AB36" s="9"/>
      <c r="AC36" s="9"/>
      <c r="AD36" s="20" t="str">
        <f ca="1">IFERROR(__xludf.DUMMYFUNCTION("""COMPUTED_VALUE"""),"YES")</f>
        <v>YES</v>
      </c>
      <c r="AE36" s="10" t="str">
        <f ca="1">IFERROR(__xludf.DUMMYFUNCTION("""COMPUTED_VALUE"""),"Beograd")</f>
        <v>Beograd</v>
      </c>
      <c r="AF36" s="11" t="str">
        <f ca="1">IFERROR(__xludf.DUMMYFUNCTION("""COMPUTED_VALUE"""),"TK1080")</f>
        <v>TK1080</v>
      </c>
      <c r="AG36" s="11" t="str">
        <f ca="1">IFERROR(__xludf.DUMMYFUNCTION("""COMPUTED_VALUE"""),"27/10/2024")</f>
        <v>27/10/2024</v>
      </c>
      <c r="AH36" s="12">
        <f ca="1">IFERROR(__xludf.DUMMYFUNCTION("""COMPUTED_VALUE"""),0.631944444444444)</f>
        <v>0.63194444444444398</v>
      </c>
      <c r="AI36" s="11"/>
      <c r="AJ36" s="2"/>
    </row>
    <row r="37" spans="1:36" ht="14.4" customHeight="1" x14ac:dyDescent="0.25">
      <c r="A37" s="9">
        <f ca="1">IFERROR(__xludf.DUMMYFUNCTION("""COMPUTED_VALUE"""),36)</f>
        <v>36</v>
      </c>
      <c r="B37" s="9"/>
      <c r="C37" s="9"/>
      <c r="D37" s="9" t="str">
        <f ca="1">IFERROR(__xludf.DUMMYFUNCTION("""COMPUTED_VALUE"""),"14/08/2024")</f>
        <v>14/08/2024</v>
      </c>
      <c r="E37" s="23" t="str">
        <f ca="1">IFERROR(__xludf.DUMMYFUNCTION("""COMPUTED_VALUE"""),"Player")</f>
        <v>Player</v>
      </c>
      <c r="F37" s="9" t="str">
        <f ca="1">IFERROR(__xludf.DUMMYFUNCTION("""COMPUTED_VALUE"""),"Zhu, Jiner")</f>
        <v>Zhu, Jiner</v>
      </c>
      <c r="G37" s="9" t="str">
        <f ca="1">IFERROR(__xludf.DUMMYFUNCTION("""COMPUTED_VALUE"""),"CHN")</f>
        <v>CHN</v>
      </c>
      <c r="H37" s="9" t="str">
        <f ca="1">IFERROR(__xludf.DUMMYFUNCTION("""COMPUTED_VALUE"""),"GM")</f>
        <v>GM</v>
      </c>
      <c r="I37" s="9"/>
      <c r="J37" s="9">
        <f ca="1">IFERROR(__xludf.DUMMYFUNCTION("""COMPUTED_VALUE"""),100)</f>
        <v>100</v>
      </c>
      <c r="K37" s="9"/>
      <c r="L37" s="9"/>
      <c r="M37" s="9" t="str">
        <f ca="1">IFERROR(__xludf.DUMMYFUNCTION("""COMPUTED_VALUE"""),"Tajfun SK")</f>
        <v>Tajfun SK</v>
      </c>
      <c r="N37" s="9" t="str">
        <f ca="1">IFERROR(__xludf.DUMMYFUNCTION("""COMPUTED_VALUE"""),"SLO")</f>
        <v>SLO</v>
      </c>
      <c r="O37" s="9" t="str">
        <f ca="1">IFERROR(__xludf.DUMMYFUNCTION("""COMPUTED_VALUE"""),"Tonanti")</f>
        <v>Tonanti</v>
      </c>
      <c r="P37" s="9" t="str">
        <f ca="1">IFERROR(__xludf.DUMMYFUNCTION("""COMPUTED_VALUE"""),"Single")</f>
        <v>Single</v>
      </c>
      <c r="Q37" s="9"/>
      <c r="R37" s="9">
        <f ca="1">IFERROR(__xludf.DUMMYFUNCTION("""COMPUTED_VALUE"""),108)</f>
        <v>108</v>
      </c>
      <c r="S37" s="9" t="str">
        <f ca="1">IFERROR(__xludf.DUMMYFUNCTION("""COMPUTED_VALUE"""),"19/10/2024")</f>
        <v>19/10/2024</v>
      </c>
      <c r="T37" s="9" t="str">
        <f ca="1">IFERROR(__xludf.DUMMYFUNCTION("""COMPUTED_VALUE"""),"27/10/2024")</f>
        <v>27/10/2024</v>
      </c>
      <c r="U37" s="9">
        <f ca="1">IFERROR(__xludf.DUMMYFUNCTION("""COMPUTED_VALUE"""),8)</f>
        <v>8</v>
      </c>
      <c r="V37" s="9">
        <f ca="1">IFERROR(__xludf.DUMMYFUNCTION("""COMPUTED_VALUE"""),864)</f>
        <v>864</v>
      </c>
      <c r="W37" s="9">
        <f ca="1">IFERROR(__xludf.DUMMYFUNCTION("""COMPUTED_VALUE"""),12.8)</f>
        <v>12.8</v>
      </c>
      <c r="X37" s="9">
        <f ca="1">IFERROR(__xludf.DUMMYFUNCTION("""COMPUTED_VALUE"""),876.8)</f>
        <v>876.8</v>
      </c>
      <c r="Y37" s="9"/>
      <c r="Z37" s="9"/>
      <c r="AA37" s="9"/>
      <c r="AB37" s="9"/>
      <c r="AC37" s="9"/>
      <c r="AD37" s="20" t="str">
        <f ca="1">IFERROR(__xludf.DUMMYFUNCTION("""COMPUTED_VALUE"""),"YES")</f>
        <v>YES</v>
      </c>
      <c r="AE37" s="10" t="str">
        <f ca="1">IFERROR(__xludf.DUMMYFUNCTION("""COMPUTED_VALUE"""),"Beograd")</f>
        <v>Beograd</v>
      </c>
      <c r="AF37" s="11" t="str">
        <f ca="1">IFERROR(__xludf.DUMMYFUNCTION("""COMPUTED_VALUE"""),"EK2295")</f>
        <v>EK2295</v>
      </c>
      <c r="AG37" s="11" t="str">
        <f ca="1">IFERROR(__xludf.DUMMYFUNCTION("""COMPUTED_VALUE"""),"26/10/2024")</f>
        <v>26/10/2024</v>
      </c>
      <c r="AH37" s="12">
        <f ca="1">IFERROR(__xludf.DUMMYFUNCTION("""COMPUTED_VALUE"""),0.996527777777777)</f>
        <v>0.99652777777777701</v>
      </c>
      <c r="AI37" s="11"/>
      <c r="AJ37" s="2"/>
    </row>
    <row r="38" spans="1:36" ht="14.4" customHeight="1" x14ac:dyDescent="0.25">
      <c r="A38" s="9">
        <f ca="1">IFERROR(__xludf.DUMMYFUNCTION("""COMPUTED_VALUE"""),37)</f>
        <v>37</v>
      </c>
      <c r="B38" s="9"/>
      <c r="C38" s="9"/>
      <c r="D38" s="9" t="str">
        <f ca="1">IFERROR(__xludf.DUMMYFUNCTION("""COMPUTED_VALUE"""),"14/08/2024")</f>
        <v>14/08/2024</v>
      </c>
      <c r="E38" s="23" t="str">
        <f ca="1">IFERROR(__xludf.DUMMYFUNCTION("""COMPUTED_VALUE"""),"Player")</f>
        <v>Player</v>
      </c>
      <c r="F38" s="9" t="str">
        <f ca="1">IFERROR(__xludf.DUMMYFUNCTION("""COMPUTED_VALUE"""),"Badelka, Olga")</f>
        <v>Badelka, Olga</v>
      </c>
      <c r="G38" s="9" t="str">
        <f ca="1">IFERROR(__xludf.DUMMYFUNCTION("""COMPUTED_VALUE"""),"FID")</f>
        <v>FID</v>
      </c>
      <c r="H38" s="9" t="str">
        <f ca="1">IFERROR(__xludf.DUMMYFUNCTION("""COMPUTED_VALUE"""),"IM")</f>
        <v>IM</v>
      </c>
      <c r="I38" s="9"/>
      <c r="J38" s="9">
        <f ca="1">IFERROR(__xludf.DUMMYFUNCTION("""COMPUTED_VALUE"""),100)</f>
        <v>100</v>
      </c>
      <c r="K38" s="9"/>
      <c r="L38" s="9"/>
      <c r="M38" s="9" t="str">
        <f ca="1">IFERROR(__xludf.DUMMYFUNCTION("""COMPUTED_VALUE"""),"Tajfun SK")</f>
        <v>Tajfun SK</v>
      </c>
      <c r="N38" s="9" t="str">
        <f ca="1">IFERROR(__xludf.DUMMYFUNCTION("""COMPUTED_VALUE"""),"SLO")</f>
        <v>SLO</v>
      </c>
      <c r="O38" s="9" t="str">
        <f ca="1">IFERROR(__xludf.DUMMYFUNCTION("""COMPUTED_VALUE"""),"Tonanti")</f>
        <v>Tonanti</v>
      </c>
      <c r="P38" s="9" t="str">
        <f ca="1">IFERROR(__xludf.DUMMYFUNCTION("""COMPUTED_VALUE"""),"Single")</f>
        <v>Single</v>
      </c>
      <c r="Q38" s="9"/>
      <c r="R38" s="9">
        <f ca="1">IFERROR(__xludf.DUMMYFUNCTION("""COMPUTED_VALUE"""),108)</f>
        <v>108</v>
      </c>
      <c r="S38" s="9" t="str">
        <f ca="1">IFERROR(__xludf.DUMMYFUNCTION("""COMPUTED_VALUE"""),"19/10/2024")</f>
        <v>19/10/2024</v>
      </c>
      <c r="T38" s="9" t="str">
        <f ca="1">IFERROR(__xludf.DUMMYFUNCTION("""COMPUTED_VALUE"""),"27/10/2024")</f>
        <v>27/10/2024</v>
      </c>
      <c r="U38" s="9">
        <f ca="1">IFERROR(__xludf.DUMMYFUNCTION("""COMPUTED_VALUE"""),8)</f>
        <v>8</v>
      </c>
      <c r="V38" s="9">
        <f ca="1">IFERROR(__xludf.DUMMYFUNCTION("""COMPUTED_VALUE"""),864)</f>
        <v>864</v>
      </c>
      <c r="W38" s="9">
        <f ca="1">IFERROR(__xludf.DUMMYFUNCTION("""COMPUTED_VALUE"""),12.8)</f>
        <v>12.8</v>
      </c>
      <c r="X38" s="9">
        <f ca="1">IFERROR(__xludf.DUMMYFUNCTION("""COMPUTED_VALUE"""),876.8)</f>
        <v>876.8</v>
      </c>
      <c r="Y38" s="9"/>
      <c r="Z38" s="9"/>
      <c r="AA38" s="9"/>
      <c r="AB38" s="9"/>
      <c r="AC38" s="9"/>
      <c r="AD38" s="20" t="str">
        <f ca="1">IFERROR(__xludf.DUMMYFUNCTION("""COMPUTED_VALUE"""),"YES")</f>
        <v>YES</v>
      </c>
      <c r="AE38" s="32" t="str">
        <f ca="1">IFERROR(__xludf.DUMMYFUNCTION("""COMPUTED_VALUE"""),"Beograd")</f>
        <v>Beograd</v>
      </c>
      <c r="AF38" s="11" t="str">
        <f ca="1">IFERROR(__xludf.DUMMYFUNCTION("""COMPUTED_VALUE"""),"?")</f>
        <v>?</v>
      </c>
      <c r="AG38" s="11" t="str">
        <f ca="1">IFERROR(__xludf.DUMMYFUNCTION("""COMPUTED_VALUE"""),"27/10/2024")</f>
        <v>27/10/2024</v>
      </c>
      <c r="AH38" s="12">
        <v>0.75694444444444453</v>
      </c>
      <c r="AI38" s="11"/>
      <c r="AJ38" s="2" t="str">
        <f ca="1">IFERROR(__xludf.DUMMYFUNCTION("""COMPUTED_VALUE"""),"Novo")</f>
        <v>Novo</v>
      </c>
    </row>
    <row r="39" spans="1:36" ht="14.4" customHeight="1" x14ac:dyDescent="0.25">
      <c r="A39" s="9">
        <f ca="1">IFERROR(__xludf.DUMMYFUNCTION("""COMPUTED_VALUE"""),38)</f>
        <v>38</v>
      </c>
      <c r="B39" s="9"/>
      <c r="C39" s="9"/>
      <c r="D39" s="9" t="str">
        <f ca="1">IFERROR(__xludf.DUMMYFUNCTION("""COMPUTED_VALUE"""),"14/08/2024")</f>
        <v>14/08/2024</v>
      </c>
      <c r="E39" s="23" t="str">
        <f ca="1">IFERROR(__xludf.DUMMYFUNCTION("""COMPUTED_VALUE"""),"Player")</f>
        <v>Player</v>
      </c>
      <c r="F39" s="9" t="str">
        <f ca="1">IFERROR(__xludf.DUMMYFUNCTION("""COMPUTED_VALUE"""),"Unuk, Laura")</f>
        <v>Unuk, Laura</v>
      </c>
      <c r="G39" s="9" t="str">
        <f ca="1">IFERROR(__xludf.DUMMYFUNCTION("""COMPUTED_VALUE"""),"SLO")</f>
        <v>SLO</v>
      </c>
      <c r="H39" s="9" t="str">
        <f ca="1">IFERROR(__xludf.DUMMYFUNCTION("""COMPUTED_VALUE"""),"IM")</f>
        <v>IM</v>
      </c>
      <c r="I39" s="9"/>
      <c r="J39" s="9">
        <f ca="1">IFERROR(__xludf.DUMMYFUNCTION("""COMPUTED_VALUE"""),100)</f>
        <v>100</v>
      </c>
      <c r="K39" s="9"/>
      <c r="L39" s="9"/>
      <c r="M39" s="9" t="str">
        <f ca="1">IFERROR(__xludf.DUMMYFUNCTION("""COMPUTED_VALUE"""),"Tajfun SK")</f>
        <v>Tajfun SK</v>
      </c>
      <c r="N39" s="9" t="str">
        <f ca="1">IFERROR(__xludf.DUMMYFUNCTION("""COMPUTED_VALUE"""),"SLO")</f>
        <v>SLO</v>
      </c>
      <c r="O39" s="9" t="str">
        <f ca="1">IFERROR(__xludf.DUMMYFUNCTION("""COMPUTED_VALUE"""),"Tonanti")</f>
        <v>Tonanti</v>
      </c>
      <c r="P39" s="9" t="str">
        <f ca="1">IFERROR(__xludf.DUMMYFUNCTION("""COMPUTED_VALUE"""),"Single")</f>
        <v>Single</v>
      </c>
      <c r="Q39" s="9"/>
      <c r="R39" s="9">
        <f ca="1">IFERROR(__xludf.DUMMYFUNCTION("""COMPUTED_VALUE"""),108)</f>
        <v>108</v>
      </c>
      <c r="S39" s="9" t="str">
        <f ca="1">IFERROR(__xludf.DUMMYFUNCTION("""COMPUTED_VALUE"""),"19/10/2024")</f>
        <v>19/10/2024</v>
      </c>
      <c r="T39" s="9" t="str">
        <f ca="1">IFERROR(__xludf.DUMMYFUNCTION("""COMPUTED_VALUE"""),"27/10/2024")</f>
        <v>27/10/2024</v>
      </c>
      <c r="U39" s="9">
        <f ca="1">IFERROR(__xludf.DUMMYFUNCTION("""COMPUTED_VALUE"""),8)</f>
        <v>8</v>
      </c>
      <c r="V39" s="9">
        <f ca="1">IFERROR(__xludf.DUMMYFUNCTION("""COMPUTED_VALUE"""),864)</f>
        <v>864</v>
      </c>
      <c r="W39" s="9">
        <f ca="1">IFERROR(__xludf.DUMMYFUNCTION("""COMPUTED_VALUE"""),12.8)</f>
        <v>12.8</v>
      </c>
      <c r="X39" s="9">
        <f ca="1">IFERROR(__xludf.DUMMYFUNCTION("""COMPUTED_VALUE"""),876.8)</f>
        <v>876.8</v>
      </c>
      <c r="Y39" s="9"/>
      <c r="Z39" s="9"/>
      <c r="AA39" s="9"/>
      <c r="AB39" s="9"/>
      <c r="AC39" s="9"/>
      <c r="AD39" s="20" t="str">
        <f ca="1">IFERROR(__xludf.DUMMYFUNCTION("""COMPUTED_VALUE"""),"YES")</f>
        <v>YES</v>
      </c>
      <c r="AE39" s="10" t="str">
        <f ca="1">IFERROR(__xludf.DUMMYFUNCTION("""COMPUTED_VALUE"""),"Beograd")</f>
        <v>Beograd</v>
      </c>
      <c r="AF39" s="11" t="str">
        <f ca="1">IFERROR(__xludf.DUMMYFUNCTION("""COMPUTED_VALUE"""),"JU 622")</f>
        <v>JU 622</v>
      </c>
      <c r="AG39" s="11" t="str">
        <f ca="1">IFERROR(__xludf.DUMMYFUNCTION("""COMPUTED_VALUE"""),"27/10/2024")</f>
        <v>27/10/2024</v>
      </c>
      <c r="AH39" s="12">
        <f ca="1">IFERROR(__xludf.DUMMYFUNCTION("""COMPUTED_VALUE"""),0.541666666666666)</f>
        <v>0.54166666666666596</v>
      </c>
      <c r="AI39" s="11"/>
      <c r="AJ39" s="2"/>
    </row>
    <row r="40" spans="1:36" ht="14.4" customHeight="1" x14ac:dyDescent="0.25">
      <c r="A40" s="9">
        <f ca="1">IFERROR(__xludf.DUMMYFUNCTION("""COMPUTED_VALUE"""),39)</f>
        <v>39</v>
      </c>
      <c r="B40" s="9"/>
      <c r="C40" s="9"/>
      <c r="D40" s="9" t="str">
        <f ca="1">IFERROR(__xludf.DUMMYFUNCTION("""COMPUTED_VALUE"""),"14/08/2024")</f>
        <v>14/08/2024</v>
      </c>
      <c r="E40" s="23" t="str">
        <f ca="1">IFERROR(__xludf.DUMMYFUNCTION("""COMPUTED_VALUE"""),"Player")</f>
        <v>Player</v>
      </c>
      <c r="F40" s="9" t="str">
        <f ca="1">IFERROR(__xludf.DUMMYFUNCTION("""COMPUTED_VALUE"""),"Urh, Zala")</f>
        <v>Urh, Zala</v>
      </c>
      <c r="G40" s="9" t="str">
        <f ca="1">IFERROR(__xludf.DUMMYFUNCTION("""COMPUTED_VALUE"""),"SLO")</f>
        <v>SLO</v>
      </c>
      <c r="H40" s="9" t="str">
        <f ca="1">IFERROR(__xludf.DUMMYFUNCTION("""COMPUTED_VALUE"""),"WIM")</f>
        <v>WIM</v>
      </c>
      <c r="I40" s="9"/>
      <c r="J40" s="9">
        <f ca="1">IFERROR(__xludf.DUMMYFUNCTION("""COMPUTED_VALUE"""),100)</f>
        <v>100</v>
      </c>
      <c r="K40" s="9"/>
      <c r="L40" s="9"/>
      <c r="M40" s="9" t="str">
        <f ca="1">IFERROR(__xludf.DUMMYFUNCTION("""COMPUTED_VALUE"""),"Tajfun SK")</f>
        <v>Tajfun SK</v>
      </c>
      <c r="N40" s="9" t="str">
        <f ca="1">IFERROR(__xludf.DUMMYFUNCTION("""COMPUTED_VALUE"""),"SLO")</f>
        <v>SLO</v>
      </c>
      <c r="O40" s="9" t="str">
        <f ca="1">IFERROR(__xludf.DUMMYFUNCTION("""COMPUTED_VALUE"""),"Tonanti")</f>
        <v>Tonanti</v>
      </c>
      <c r="P40" s="9" t="str">
        <f ca="1">IFERROR(__xludf.DUMMYFUNCTION("""COMPUTED_VALUE"""),"Single")</f>
        <v>Single</v>
      </c>
      <c r="Q40" s="9"/>
      <c r="R40" s="9">
        <f ca="1">IFERROR(__xludf.DUMMYFUNCTION("""COMPUTED_VALUE"""),108)</f>
        <v>108</v>
      </c>
      <c r="S40" s="9" t="str">
        <f ca="1">IFERROR(__xludf.DUMMYFUNCTION("""COMPUTED_VALUE"""),"19/10/2024")</f>
        <v>19/10/2024</v>
      </c>
      <c r="T40" s="9" t="str">
        <f ca="1">IFERROR(__xludf.DUMMYFUNCTION("""COMPUTED_VALUE"""),"27/10/2024")</f>
        <v>27/10/2024</v>
      </c>
      <c r="U40" s="9">
        <f ca="1">IFERROR(__xludf.DUMMYFUNCTION("""COMPUTED_VALUE"""),8)</f>
        <v>8</v>
      </c>
      <c r="V40" s="9">
        <f ca="1">IFERROR(__xludf.DUMMYFUNCTION("""COMPUTED_VALUE"""),864)</f>
        <v>864</v>
      </c>
      <c r="W40" s="9">
        <f ca="1">IFERROR(__xludf.DUMMYFUNCTION("""COMPUTED_VALUE"""),12.8)</f>
        <v>12.8</v>
      </c>
      <c r="X40" s="9">
        <f ca="1">IFERROR(__xludf.DUMMYFUNCTION("""COMPUTED_VALUE"""),876.8)</f>
        <v>876.8</v>
      </c>
      <c r="Y40" s="9"/>
      <c r="Z40" s="9"/>
      <c r="AA40" s="9"/>
      <c r="AB40" s="9"/>
      <c r="AC40" s="9"/>
      <c r="AD40" s="20" t="str">
        <f ca="1">IFERROR(__xludf.DUMMYFUNCTION("""COMPUTED_VALUE"""),"YES")</f>
        <v>YES</v>
      </c>
      <c r="AE40" s="10" t="str">
        <f ca="1">IFERROR(__xludf.DUMMYFUNCTION("""COMPUTED_VALUE"""),"Beograd")</f>
        <v>Beograd</v>
      </c>
      <c r="AF40" s="11" t="str">
        <f ca="1">IFERROR(__xludf.DUMMYFUNCTION("""COMPUTED_VALUE"""),"JU 622")</f>
        <v>JU 622</v>
      </c>
      <c r="AG40" s="11" t="str">
        <f ca="1">IFERROR(__xludf.DUMMYFUNCTION("""COMPUTED_VALUE"""),"27/10/2024")</f>
        <v>27/10/2024</v>
      </c>
      <c r="AH40" s="12">
        <f ca="1">IFERROR(__xludf.DUMMYFUNCTION("""COMPUTED_VALUE"""),0.541666666666666)</f>
        <v>0.54166666666666596</v>
      </c>
      <c r="AI40" s="11"/>
      <c r="AJ40" s="2"/>
    </row>
    <row r="41" spans="1:36" ht="14.4" customHeight="1" x14ac:dyDescent="0.25">
      <c r="A41" s="9">
        <f ca="1">IFERROR(__xludf.DUMMYFUNCTION("""COMPUTED_VALUE"""),40)</f>
        <v>40</v>
      </c>
      <c r="B41" s="9"/>
      <c r="C41" s="9"/>
      <c r="D41" s="9" t="str">
        <f ca="1">IFERROR(__xludf.DUMMYFUNCTION("""COMPUTED_VALUE"""),"14/08/2024")</f>
        <v>14/08/2024</v>
      </c>
      <c r="E41" s="23" t="str">
        <f ca="1">IFERROR(__xludf.DUMMYFUNCTION("""COMPUTED_VALUE"""),"Player")</f>
        <v>Player</v>
      </c>
      <c r="F41" s="9" t="str">
        <f ca="1">IFERROR(__xludf.DUMMYFUNCTION("""COMPUTED_VALUE"""),"Rogule, Laura")</f>
        <v>Rogule, Laura</v>
      </c>
      <c r="G41" s="9" t="str">
        <f ca="1">IFERROR(__xludf.DUMMYFUNCTION("""COMPUTED_VALUE"""),"LAT")</f>
        <v>LAT</v>
      </c>
      <c r="H41" s="9" t="str">
        <f ca="1">IFERROR(__xludf.DUMMYFUNCTION("""COMPUTED_VALUE"""),"WGM")</f>
        <v>WGM</v>
      </c>
      <c r="I41" s="9"/>
      <c r="J41" s="9">
        <f ca="1">IFERROR(__xludf.DUMMYFUNCTION("""COMPUTED_VALUE"""),100)</f>
        <v>100</v>
      </c>
      <c r="K41" s="9"/>
      <c r="L41" s="9"/>
      <c r="M41" s="9" t="str">
        <f ca="1">IFERROR(__xludf.DUMMYFUNCTION("""COMPUTED_VALUE"""),"Wasa SK")</f>
        <v>Wasa SK</v>
      </c>
      <c r="N41" s="9" t="str">
        <f ca="1">IFERROR(__xludf.DUMMYFUNCTION("""COMPUTED_VALUE"""),"SWE")</f>
        <v>SWE</v>
      </c>
      <c r="O41" s="9" t="str">
        <f ca="1">IFERROR(__xludf.DUMMYFUNCTION("""COMPUTED_VALUE"""),"Zepter")</f>
        <v>Zepter</v>
      </c>
      <c r="P41" s="9" t="str">
        <f ca="1">IFERROR(__xludf.DUMMYFUNCTION("""COMPUTED_VALUE"""),"Single")</f>
        <v>Single</v>
      </c>
      <c r="Q41" s="9"/>
      <c r="R41" s="9">
        <f ca="1">IFERROR(__xludf.DUMMYFUNCTION("""COMPUTED_VALUE"""),104)</f>
        <v>104</v>
      </c>
      <c r="S41" s="9" t="str">
        <f ca="1">IFERROR(__xludf.DUMMYFUNCTION("""COMPUTED_VALUE"""),"19/10/2024")</f>
        <v>19/10/2024</v>
      </c>
      <c r="T41" s="9" t="str">
        <f ca="1">IFERROR(__xludf.DUMMYFUNCTION("""COMPUTED_VALUE"""),"27/10/2024")</f>
        <v>27/10/2024</v>
      </c>
      <c r="U41" s="9">
        <f ca="1">IFERROR(__xludf.DUMMYFUNCTION("""COMPUTED_VALUE"""),8)</f>
        <v>8</v>
      </c>
      <c r="V41" s="9">
        <f ca="1">IFERROR(__xludf.DUMMYFUNCTION("""COMPUTED_VALUE"""),832)</f>
        <v>832</v>
      </c>
      <c r="W41" s="9">
        <f ca="1">IFERROR(__xludf.DUMMYFUNCTION("""COMPUTED_VALUE"""),12.8)</f>
        <v>12.8</v>
      </c>
      <c r="X41" s="9">
        <f ca="1">IFERROR(__xludf.DUMMYFUNCTION("""COMPUTED_VALUE"""),844.8)</f>
        <v>844.8</v>
      </c>
      <c r="Y41" s="9"/>
      <c r="Z41" s="9"/>
      <c r="AA41" s="9"/>
      <c r="AB41" s="9" t="str">
        <f ca="1">IFERROR(__xludf.DUMMYFUNCTION("""COMPUTED_VALUE"""),"Tonanti ili Fontana")</f>
        <v>Tonanti ili Fontana</v>
      </c>
      <c r="AC41" s="9"/>
      <c r="AD41" s="20" t="str">
        <f ca="1">IFERROR(__xludf.DUMMYFUNCTION("""COMPUTED_VALUE"""),"YES")</f>
        <v>YES</v>
      </c>
      <c r="AE41" s="10" t="str">
        <f ca="1">IFERROR(__xludf.DUMMYFUNCTION("""COMPUTED_VALUE"""),"Beograd")</f>
        <v>Beograd</v>
      </c>
      <c r="AF41" s="11" t="str">
        <f ca="1">IFERROR(__xludf.DUMMYFUNCTION("""COMPUTED_VALUE"""),"JU 158")</f>
        <v>JU 158</v>
      </c>
      <c r="AG41" s="11" t="str">
        <f ca="1">IFERROR(__xludf.DUMMYFUNCTION("""COMPUTED_VALUE"""),"27/10/2024")</f>
        <v>27/10/2024</v>
      </c>
      <c r="AH41" s="12">
        <f ca="1">IFERROR(__xludf.DUMMYFUNCTION("""COMPUTED_VALUE"""),0.729166666666666)</f>
        <v>0.72916666666666596</v>
      </c>
      <c r="AI41" s="11"/>
      <c r="AJ41" s="2" t="str">
        <f ca="1">IFERROR(__xludf.DUMMYFUNCTION("""COMPUTED_VALUE"""),"NOVO")</f>
        <v>NOVO</v>
      </c>
    </row>
    <row r="42" spans="1:36" ht="14.4" customHeight="1" x14ac:dyDescent="0.25">
      <c r="A42" s="9">
        <f ca="1">IFERROR(__xludf.DUMMYFUNCTION("""COMPUTED_VALUE"""),41)</f>
        <v>41</v>
      </c>
      <c r="B42" s="9"/>
      <c r="C42" s="9"/>
      <c r="D42" s="9" t="str">
        <f ca="1">IFERROR(__xludf.DUMMYFUNCTION("""COMPUTED_VALUE"""),"14/08/2024")</f>
        <v>14/08/2024</v>
      </c>
      <c r="E42" s="23" t="str">
        <f ca="1">IFERROR(__xludf.DUMMYFUNCTION("""COMPUTED_VALUE"""),"Player")</f>
        <v>Player</v>
      </c>
      <c r="F42" s="9" t="str">
        <f ca="1">IFERROR(__xludf.DUMMYFUNCTION("""COMPUTED_VALUE"""),"Johansson, Viktoria")</f>
        <v>Johansson, Viktoria</v>
      </c>
      <c r="G42" s="9" t="str">
        <f ca="1">IFERROR(__xludf.DUMMYFUNCTION("""COMPUTED_VALUE"""),"SWE")</f>
        <v>SWE</v>
      </c>
      <c r="H42" s="9" t="str">
        <f ca="1">IFERROR(__xludf.DUMMYFUNCTION("""COMPUTED_VALUE"""),"WIM")</f>
        <v>WIM</v>
      </c>
      <c r="I42" s="9"/>
      <c r="J42" s="9">
        <f ca="1">IFERROR(__xludf.DUMMYFUNCTION("""COMPUTED_VALUE"""),100)</f>
        <v>100</v>
      </c>
      <c r="K42" s="9"/>
      <c r="L42" s="9"/>
      <c r="M42" s="9" t="str">
        <f ca="1">IFERROR(__xludf.DUMMYFUNCTION("""COMPUTED_VALUE"""),"Wasa SK")</f>
        <v>Wasa SK</v>
      </c>
      <c r="N42" s="9" t="str">
        <f ca="1">IFERROR(__xludf.DUMMYFUNCTION("""COMPUTED_VALUE"""),"SWE")</f>
        <v>SWE</v>
      </c>
      <c r="O42" s="9" t="str">
        <f ca="1">IFERROR(__xludf.DUMMYFUNCTION("""COMPUTED_VALUE"""),"Zepter")</f>
        <v>Zepter</v>
      </c>
      <c r="P42" s="9" t="str">
        <f ca="1">IFERROR(__xludf.DUMMYFUNCTION("""COMPUTED_VALUE"""),"Single")</f>
        <v>Single</v>
      </c>
      <c r="Q42" s="9"/>
      <c r="R42" s="9">
        <f ca="1">IFERROR(__xludf.DUMMYFUNCTION("""COMPUTED_VALUE"""),104)</f>
        <v>104</v>
      </c>
      <c r="S42" s="9" t="str">
        <f ca="1">IFERROR(__xludf.DUMMYFUNCTION("""COMPUTED_VALUE"""),"19/10/2024")</f>
        <v>19/10/2024</v>
      </c>
      <c r="T42" s="9" t="str">
        <f ca="1">IFERROR(__xludf.DUMMYFUNCTION("""COMPUTED_VALUE"""),"27/10/2024")</f>
        <v>27/10/2024</v>
      </c>
      <c r="U42" s="9">
        <f ca="1">IFERROR(__xludf.DUMMYFUNCTION("""COMPUTED_VALUE"""),8)</f>
        <v>8</v>
      </c>
      <c r="V42" s="9">
        <f ca="1">IFERROR(__xludf.DUMMYFUNCTION("""COMPUTED_VALUE"""),832)</f>
        <v>832</v>
      </c>
      <c r="W42" s="9">
        <f ca="1">IFERROR(__xludf.DUMMYFUNCTION("""COMPUTED_VALUE"""),12.8)</f>
        <v>12.8</v>
      </c>
      <c r="X42" s="9">
        <f ca="1">IFERROR(__xludf.DUMMYFUNCTION("""COMPUTED_VALUE"""),844.8)</f>
        <v>844.8</v>
      </c>
      <c r="Y42" s="9"/>
      <c r="Z42" s="9"/>
      <c r="AA42" s="9"/>
      <c r="AB42" s="9" t="str">
        <f ca="1">IFERROR(__xludf.DUMMYFUNCTION("""COMPUTED_VALUE"""),"Tonanti ili Fontana")</f>
        <v>Tonanti ili Fontana</v>
      </c>
      <c r="AC42" s="9"/>
      <c r="AD42" s="20" t="str">
        <f ca="1">IFERROR(__xludf.DUMMYFUNCTION("""COMPUTED_VALUE"""),"YES")</f>
        <v>YES</v>
      </c>
      <c r="AE42" s="10" t="str">
        <f ca="1">IFERROR(__xludf.DUMMYFUNCTION("""COMPUTED_VALUE"""),"Beograd")</f>
        <v>Beograd</v>
      </c>
      <c r="AF42" s="11" t="str">
        <f ca="1">IFERROR(__xludf.DUMMYFUNCTION("""COMPUTED_VALUE"""),"JU 382")</f>
        <v>JU 382</v>
      </c>
      <c r="AG42" s="11" t="str">
        <f ca="1">IFERROR(__xludf.DUMMYFUNCTION("""COMPUTED_VALUE"""),"27/10/2024")</f>
        <v>27/10/2024</v>
      </c>
      <c r="AH42" s="12">
        <f ca="1">IFERROR(__xludf.DUMMYFUNCTION("""COMPUTED_VALUE"""),0.715277777777777)</f>
        <v>0.71527777777777701</v>
      </c>
      <c r="AI42" s="11"/>
      <c r="AJ42" s="2" t="str">
        <f ca="1">IFERROR(__xludf.DUMMYFUNCTION("""COMPUTED_VALUE"""),"NOVO")</f>
        <v>NOVO</v>
      </c>
    </row>
    <row r="43" spans="1:36" ht="14.4" customHeight="1" x14ac:dyDescent="0.25">
      <c r="A43" s="9">
        <f ca="1">IFERROR(__xludf.DUMMYFUNCTION("""COMPUTED_VALUE"""),42)</f>
        <v>42</v>
      </c>
      <c r="B43" s="9"/>
      <c r="C43" s="9"/>
      <c r="D43" s="9" t="str">
        <f ca="1">IFERROR(__xludf.DUMMYFUNCTION("""COMPUTED_VALUE"""),"14/08/2024")</f>
        <v>14/08/2024</v>
      </c>
      <c r="E43" s="23" t="str">
        <f ca="1">IFERROR(__xludf.DUMMYFUNCTION("""COMPUTED_VALUE"""),"Player")</f>
        <v>Player</v>
      </c>
      <c r="F43" s="9" t="str">
        <f ca="1">IFERROR(__xludf.DUMMYFUNCTION("""COMPUTED_VALUE"""),"Isurina Mariano, Cristine Rose")</f>
        <v>Isurina Mariano, Cristine Rose</v>
      </c>
      <c r="G43" s="9" t="str">
        <f ca="1">IFERROR(__xludf.DUMMYFUNCTION("""COMPUTED_VALUE"""),"PHI")</f>
        <v>PHI</v>
      </c>
      <c r="H43" s="9" t="str">
        <f ca="1">IFERROR(__xludf.DUMMYFUNCTION("""COMPUTED_VALUE"""),"WIM")</f>
        <v>WIM</v>
      </c>
      <c r="I43" s="9"/>
      <c r="J43" s="9">
        <f ca="1">IFERROR(__xludf.DUMMYFUNCTION("""COMPUTED_VALUE"""),100)</f>
        <v>100</v>
      </c>
      <c r="K43" s="9"/>
      <c r="L43" s="9"/>
      <c r="M43" s="9" t="str">
        <f ca="1">IFERROR(__xludf.DUMMYFUNCTION("""COMPUTED_VALUE"""),"Wasa SK")</f>
        <v>Wasa SK</v>
      </c>
      <c r="N43" s="9" t="str">
        <f ca="1">IFERROR(__xludf.DUMMYFUNCTION("""COMPUTED_VALUE"""),"SWE")</f>
        <v>SWE</v>
      </c>
      <c r="O43" s="9" t="str">
        <f ca="1">IFERROR(__xludf.DUMMYFUNCTION("""COMPUTED_VALUE"""),"Zepter")</f>
        <v>Zepter</v>
      </c>
      <c r="P43" s="9" t="str">
        <f ca="1">IFERROR(__xludf.DUMMYFUNCTION("""COMPUTED_VALUE"""),"Single")</f>
        <v>Single</v>
      </c>
      <c r="Q43" s="9"/>
      <c r="R43" s="9">
        <f ca="1">IFERROR(__xludf.DUMMYFUNCTION("""COMPUTED_VALUE"""),104)</f>
        <v>104</v>
      </c>
      <c r="S43" s="9" t="str">
        <f ca="1">IFERROR(__xludf.DUMMYFUNCTION("""COMPUTED_VALUE"""),"19/10/2024")</f>
        <v>19/10/2024</v>
      </c>
      <c r="T43" s="9" t="str">
        <f ca="1">IFERROR(__xludf.DUMMYFUNCTION("""COMPUTED_VALUE"""),"27/10/2024")</f>
        <v>27/10/2024</v>
      </c>
      <c r="U43" s="9">
        <f ca="1">IFERROR(__xludf.DUMMYFUNCTION("""COMPUTED_VALUE"""),8)</f>
        <v>8</v>
      </c>
      <c r="V43" s="9">
        <f ca="1">IFERROR(__xludf.DUMMYFUNCTION("""COMPUTED_VALUE"""),832)</f>
        <v>832</v>
      </c>
      <c r="W43" s="9">
        <f ca="1">IFERROR(__xludf.DUMMYFUNCTION("""COMPUTED_VALUE"""),12.8)</f>
        <v>12.8</v>
      </c>
      <c r="X43" s="9">
        <f ca="1">IFERROR(__xludf.DUMMYFUNCTION("""COMPUTED_VALUE"""),844.8)</f>
        <v>844.8</v>
      </c>
      <c r="Y43" s="9"/>
      <c r="Z43" s="9"/>
      <c r="AA43" s="9"/>
      <c r="AB43" s="9" t="str">
        <f ca="1">IFERROR(__xludf.DUMMYFUNCTION("""COMPUTED_VALUE"""),"Tonanti ili Fontana")</f>
        <v>Tonanti ili Fontana</v>
      </c>
      <c r="AC43" s="9"/>
      <c r="AD43" s="20" t="str">
        <f ca="1">IFERROR(__xludf.DUMMYFUNCTION("""COMPUTED_VALUE"""),"YES")</f>
        <v>YES</v>
      </c>
      <c r="AE43" s="10" t="str">
        <f ca="1">IFERROR(__xludf.DUMMYFUNCTION("""COMPUTED_VALUE"""),"Beograd")</f>
        <v>Beograd</v>
      </c>
      <c r="AF43" s="11" t="str">
        <f ca="1">IFERROR(__xludf.DUMMYFUNCTION("""COMPUTED_VALUE"""),"JU 382")</f>
        <v>JU 382</v>
      </c>
      <c r="AG43" s="11" t="str">
        <f ca="1">IFERROR(__xludf.DUMMYFUNCTION("""COMPUTED_VALUE"""),"27/10/2024")</f>
        <v>27/10/2024</v>
      </c>
      <c r="AH43" s="12">
        <f ca="1">IFERROR(__xludf.DUMMYFUNCTION("""COMPUTED_VALUE"""),0.715277777777777)</f>
        <v>0.71527777777777701</v>
      </c>
      <c r="AI43" s="11"/>
      <c r="AJ43" s="2" t="str">
        <f ca="1">IFERROR(__xludf.DUMMYFUNCTION("""COMPUTED_VALUE"""),"NOVO")</f>
        <v>NOVO</v>
      </c>
    </row>
    <row r="44" spans="1:36" ht="14.4" customHeight="1" x14ac:dyDescent="0.25">
      <c r="A44" s="9">
        <f ca="1">IFERROR(__xludf.DUMMYFUNCTION("""COMPUTED_VALUE"""),43)</f>
        <v>43</v>
      </c>
      <c r="B44" s="9"/>
      <c r="C44" s="9"/>
      <c r="D44" s="9" t="str">
        <f ca="1">IFERROR(__xludf.DUMMYFUNCTION("""COMPUTED_VALUE"""),"14/08/2024")</f>
        <v>14/08/2024</v>
      </c>
      <c r="E44" s="23" t="str">
        <f ca="1">IFERROR(__xludf.DUMMYFUNCTION("""COMPUTED_VALUE"""),"Player")</f>
        <v>Player</v>
      </c>
      <c r="F44" s="9" t="str">
        <f ca="1">IFERROR(__xludf.DUMMYFUNCTION("""COMPUTED_VALUE"""),"Borisova, Borislava")</f>
        <v>Borisova, Borislava</v>
      </c>
      <c r="G44" s="9" t="str">
        <f ca="1">IFERROR(__xludf.DUMMYFUNCTION("""COMPUTED_VALUE"""),"SWE")</f>
        <v>SWE</v>
      </c>
      <c r="H44" s="9" t="str">
        <f ca="1">IFERROR(__xludf.DUMMYFUNCTION("""COMPUTED_VALUE"""),"WIM")</f>
        <v>WIM</v>
      </c>
      <c r="I44" s="9"/>
      <c r="J44" s="9">
        <f ca="1">IFERROR(__xludf.DUMMYFUNCTION("""COMPUTED_VALUE"""),100)</f>
        <v>100</v>
      </c>
      <c r="K44" s="9"/>
      <c r="L44" s="9"/>
      <c r="M44" s="9" t="str">
        <f ca="1">IFERROR(__xludf.DUMMYFUNCTION("""COMPUTED_VALUE"""),"Wasa SK")</f>
        <v>Wasa SK</v>
      </c>
      <c r="N44" s="9" t="str">
        <f ca="1">IFERROR(__xludf.DUMMYFUNCTION("""COMPUTED_VALUE"""),"SWE")</f>
        <v>SWE</v>
      </c>
      <c r="O44" s="9" t="str">
        <f ca="1">IFERROR(__xludf.DUMMYFUNCTION("""COMPUTED_VALUE"""),"Zepter")</f>
        <v>Zepter</v>
      </c>
      <c r="P44" s="9" t="str">
        <f ca="1">IFERROR(__xludf.DUMMYFUNCTION("""COMPUTED_VALUE"""),"Single")</f>
        <v>Single</v>
      </c>
      <c r="Q44" s="9"/>
      <c r="R44" s="9">
        <f ca="1">IFERROR(__xludf.DUMMYFUNCTION("""COMPUTED_VALUE"""),104)</f>
        <v>104</v>
      </c>
      <c r="S44" s="9" t="str">
        <f ca="1">IFERROR(__xludf.DUMMYFUNCTION("""COMPUTED_VALUE"""),"19/10/2024")</f>
        <v>19/10/2024</v>
      </c>
      <c r="T44" s="9" t="str">
        <f ca="1">IFERROR(__xludf.DUMMYFUNCTION("""COMPUTED_VALUE"""),"27/10/2024")</f>
        <v>27/10/2024</v>
      </c>
      <c r="U44" s="9">
        <f ca="1">IFERROR(__xludf.DUMMYFUNCTION("""COMPUTED_VALUE"""),8)</f>
        <v>8</v>
      </c>
      <c r="V44" s="9">
        <f ca="1">IFERROR(__xludf.DUMMYFUNCTION("""COMPUTED_VALUE"""),832)</f>
        <v>832</v>
      </c>
      <c r="W44" s="9">
        <f ca="1">IFERROR(__xludf.DUMMYFUNCTION("""COMPUTED_VALUE"""),12.8)</f>
        <v>12.8</v>
      </c>
      <c r="X44" s="9">
        <f ca="1">IFERROR(__xludf.DUMMYFUNCTION("""COMPUTED_VALUE"""),844.8)</f>
        <v>844.8</v>
      </c>
      <c r="Y44" s="9"/>
      <c r="Z44" s="9"/>
      <c r="AA44" s="9"/>
      <c r="AB44" s="9" t="str">
        <f ca="1">IFERROR(__xludf.DUMMYFUNCTION("""COMPUTED_VALUE"""),"Tonanti ili Fontana")</f>
        <v>Tonanti ili Fontana</v>
      </c>
      <c r="AC44" s="9"/>
      <c r="AD44" s="20" t="str">
        <f ca="1">IFERROR(__xludf.DUMMYFUNCTION("""COMPUTED_VALUE"""),"YES")</f>
        <v>YES</v>
      </c>
      <c r="AE44" s="10" t="str">
        <f ca="1">IFERROR(__xludf.DUMMYFUNCTION("""COMPUTED_VALUE"""),"Beograd")</f>
        <v>Beograd</v>
      </c>
      <c r="AF44" s="11"/>
      <c r="AG44" s="11" t="str">
        <f ca="1">IFERROR(__xludf.DUMMYFUNCTION("""COMPUTED_VALUE"""),"27/10/2024")</f>
        <v>27/10/2024</v>
      </c>
      <c r="AH44" s="12">
        <v>0.45833333333333331</v>
      </c>
      <c r="AI44" s="11"/>
      <c r="AJ44" s="2" t="str">
        <f ca="1">IFERROR(__xludf.DUMMYFUNCTION("""COMPUTED_VALUE"""),"NOVO")</f>
        <v>NOVO</v>
      </c>
    </row>
    <row r="45" spans="1:36" ht="14.4" customHeight="1" x14ac:dyDescent="0.25">
      <c r="A45" s="9">
        <f ca="1">IFERROR(__xludf.DUMMYFUNCTION("""COMPUTED_VALUE"""),44)</f>
        <v>44</v>
      </c>
      <c r="B45" s="9"/>
      <c r="C45" s="9"/>
      <c r="D45" s="9" t="str">
        <f ca="1">IFERROR(__xludf.DUMMYFUNCTION("""COMPUTED_VALUE"""),"15/08/2024")</f>
        <v>15/08/2024</v>
      </c>
      <c r="E45" s="23" t="str">
        <f ca="1">IFERROR(__xludf.DUMMYFUNCTION("""COMPUTED_VALUE"""),"Player")</f>
        <v>Player</v>
      </c>
      <c r="F45" s="9"/>
      <c r="G45" s="9"/>
      <c r="H45" s="9"/>
      <c r="I45" s="9"/>
      <c r="J45" s="9">
        <f ca="1">IFERROR(__xludf.DUMMYFUNCTION("""COMPUTED_VALUE"""),100)</f>
        <v>100</v>
      </c>
      <c r="K45" s="9"/>
      <c r="L45" s="9"/>
      <c r="M45" s="9" t="str">
        <f ca="1">IFERROR(__xludf.DUMMYFUNCTION("""COMPUTED_VALUE"""),"Jugovic")</f>
        <v>Jugovic</v>
      </c>
      <c r="N45" s="9" t="str">
        <f ca="1">IFERROR(__xludf.DUMMYFUNCTION("""COMPUTED_VALUE"""),"SRB")</f>
        <v>SRB</v>
      </c>
      <c r="O45" s="9" t="str">
        <f ca="1">IFERROR(__xludf.DUMMYFUNCTION("""COMPUTED_VALUE"""),"Fontana")</f>
        <v>Fontana</v>
      </c>
      <c r="P45" s="9" t="str">
        <f ca="1">IFERROR(__xludf.DUMMYFUNCTION("""COMPUTED_VALUE"""),"Double")</f>
        <v>Double</v>
      </c>
      <c r="Q45" s="9"/>
      <c r="R45" s="9"/>
      <c r="S45" s="9" t="str">
        <f ca="1">IFERROR(__xludf.DUMMYFUNCTION("""COMPUTED_VALUE"""),"20/10/2024")</f>
        <v>20/10/2024</v>
      </c>
      <c r="T45" s="9" t="str">
        <f ca="1">IFERROR(__xludf.DUMMYFUNCTION("""COMPUTED_VALUE"""),"26/10/2024")</f>
        <v>26/10/2024</v>
      </c>
      <c r="U45" s="9">
        <f ca="1">IFERROR(__xludf.DUMMYFUNCTION("""COMPUTED_VALUE"""),6)</f>
        <v>6</v>
      </c>
      <c r="V45" s="9">
        <f ca="1">IFERROR(__xludf.DUMMYFUNCTION("""COMPUTED_VALUE"""),0)</f>
        <v>0</v>
      </c>
      <c r="W45" s="9">
        <f ca="1">IFERROR(__xludf.DUMMYFUNCTION("""COMPUTED_VALUE"""),9.6)</f>
        <v>9.6</v>
      </c>
      <c r="X45" s="9">
        <f ca="1">IFERROR(__xludf.DUMMYFUNCTION("""COMPUTED_VALUE"""),9.6)</f>
        <v>9.6</v>
      </c>
      <c r="Y45" s="9"/>
      <c r="Z45" s="9"/>
      <c r="AA45" s="9"/>
      <c r="AB45" s="9"/>
      <c r="AC45" s="9"/>
      <c r="AD45" s="20"/>
      <c r="AE45" s="10"/>
      <c r="AF45" s="11"/>
      <c r="AG45" s="11"/>
      <c r="AH45" s="11"/>
      <c r="AI45" s="11"/>
      <c r="AJ45" s="2"/>
    </row>
    <row r="46" spans="1:36" ht="14.4" customHeight="1" x14ac:dyDescent="0.25">
      <c r="A46" s="9">
        <f ca="1">IFERROR(__xludf.DUMMYFUNCTION("""COMPUTED_VALUE"""),45)</f>
        <v>45</v>
      </c>
      <c r="B46" s="9"/>
      <c r="C46" s="9"/>
      <c r="D46" s="9" t="str">
        <f ca="1">IFERROR(__xludf.DUMMYFUNCTION("""COMPUTED_VALUE"""),"15/08/2024")</f>
        <v>15/08/2024</v>
      </c>
      <c r="E46" s="23" t="str">
        <f ca="1">IFERROR(__xludf.DUMMYFUNCTION("""COMPUTED_VALUE"""),"Player")</f>
        <v>Player</v>
      </c>
      <c r="F46" s="9"/>
      <c r="G46" s="9"/>
      <c r="H46" s="9"/>
      <c r="I46" s="9"/>
      <c r="J46" s="9">
        <f ca="1">IFERROR(__xludf.DUMMYFUNCTION("""COMPUTED_VALUE"""),100)</f>
        <v>100</v>
      </c>
      <c r="K46" s="9"/>
      <c r="L46" s="9"/>
      <c r="M46" s="9" t="str">
        <f ca="1">IFERROR(__xludf.DUMMYFUNCTION("""COMPUTED_VALUE"""),"Jugovic")</f>
        <v>Jugovic</v>
      </c>
      <c r="N46" s="9" t="str">
        <f ca="1">IFERROR(__xludf.DUMMYFUNCTION("""COMPUTED_VALUE"""),"SRB")</f>
        <v>SRB</v>
      </c>
      <c r="O46" s="9" t="str">
        <f ca="1">IFERROR(__xludf.DUMMYFUNCTION("""COMPUTED_VALUE"""),"Fontana")</f>
        <v>Fontana</v>
      </c>
      <c r="P46" s="9" t="str">
        <f ca="1">IFERROR(__xludf.DUMMYFUNCTION("""COMPUTED_VALUE"""),"Double")</f>
        <v>Double</v>
      </c>
      <c r="Q46" s="9"/>
      <c r="R46" s="9"/>
      <c r="S46" s="9" t="str">
        <f ca="1">IFERROR(__xludf.DUMMYFUNCTION("""COMPUTED_VALUE"""),"20/10/2024")</f>
        <v>20/10/2024</v>
      </c>
      <c r="T46" s="9" t="str">
        <f ca="1">IFERROR(__xludf.DUMMYFUNCTION("""COMPUTED_VALUE"""),"26/10/2024")</f>
        <v>26/10/2024</v>
      </c>
      <c r="U46" s="9">
        <f ca="1">IFERROR(__xludf.DUMMYFUNCTION("""COMPUTED_VALUE"""),6)</f>
        <v>6</v>
      </c>
      <c r="V46" s="9">
        <f ca="1">IFERROR(__xludf.DUMMYFUNCTION("""COMPUTED_VALUE"""),0)</f>
        <v>0</v>
      </c>
      <c r="W46" s="9">
        <f ca="1">IFERROR(__xludf.DUMMYFUNCTION("""COMPUTED_VALUE"""),9.6)</f>
        <v>9.6</v>
      </c>
      <c r="X46" s="9">
        <f ca="1">IFERROR(__xludf.DUMMYFUNCTION("""COMPUTED_VALUE"""),9.6)</f>
        <v>9.6</v>
      </c>
      <c r="Y46" s="9"/>
      <c r="Z46" s="9"/>
      <c r="AA46" s="9"/>
      <c r="AB46" s="9"/>
      <c r="AC46" s="9"/>
      <c r="AD46" s="20"/>
      <c r="AE46" s="10"/>
      <c r="AF46" s="11"/>
      <c r="AG46" s="11"/>
      <c r="AH46" s="11"/>
      <c r="AI46" s="11"/>
      <c r="AJ46" s="2"/>
    </row>
    <row r="47" spans="1:36" ht="14.4" customHeight="1" x14ac:dyDescent="0.25">
      <c r="A47" s="9">
        <f ca="1">IFERROR(__xludf.DUMMYFUNCTION("""COMPUTED_VALUE"""),46)</f>
        <v>46</v>
      </c>
      <c r="B47" s="9"/>
      <c r="C47" s="9"/>
      <c r="D47" s="9" t="str">
        <f ca="1">IFERROR(__xludf.DUMMYFUNCTION("""COMPUTED_VALUE"""),"15/08/2024")</f>
        <v>15/08/2024</v>
      </c>
      <c r="E47" s="23" t="str">
        <f ca="1">IFERROR(__xludf.DUMMYFUNCTION("""COMPUTED_VALUE"""),"Player")</f>
        <v>Player</v>
      </c>
      <c r="F47" s="9"/>
      <c r="G47" s="9"/>
      <c r="H47" s="9"/>
      <c r="I47" s="9"/>
      <c r="J47" s="9">
        <f ca="1">IFERROR(__xludf.DUMMYFUNCTION("""COMPUTED_VALUE"""),100)</f>
        <v>100</v>
      </c>
      <c r="K47" s="9"/>
      <c r="L47" s="9"/>
      <c r="M47" s="9" t="str">
        <f ca="1">IFERROR(__xludf.DUMMYFUNCTION("""COMPUTED_VALUE"""),"Jugovic")</f>
        <v>Jugovic</v>
      </c>
      <c r="N47" s="9" t="str">
        <f ca="1">IFERROR(__xludf.DUMMYFUNCTION("""COMPUTED_VALUE"""),"SRB")</f>
        <v>SRB</v>
      </c>
      <c r="O47" s="9" t="str">
        <f ca="1">IFERROR(__xludf.DUMMYFUNCTION("""COMPUTED_VALUE"""),"Fontana")</f>
        <v>Fontana</v>
      </c>
      <c r="P47" s="9" t="str">
        <f ca="1">IFERROR(__xludf.DUMMYFUNCTION("""COMPUTED_VALUE"""),"Double")</f>
        <v>Double</v>
      </c>
      <c r="Q47" s="9"/>
      <c r="R47" s="9"/>
      <c r="S47" s="9" t="str">
        <f ca="1">IFERROR(__xludf.DUMMYFUNCTION("""COMPUTED_VALUE"""),"20/10/2024")</f>
        <v>20/10/2024</v>
      </c>
      <c r="T47" s="9" t="str">
        <f ca="1">IFERROR(__xludf.DUMMYFUNCTION("""COMPUTED_VALUE"""),"26/10/2024")</f>
        <v>26/10/2024</v>
      </c>
      <c r="U47" s="9">
        <f ca="1">IFERROR(__xludf.DUMMYFUNCTION("""COMPUTED_VALUE"""),6)</f>
        <v>6</v>
      </c>
      <c r="V47" s="9">
        <f ca="1">IFERROR(__xludf.DUMMYFUNCTION("""COMPUTED_VALUE"""),0)</f>
        <v>0</v>
      </c>
      <c r="W47" s="9">
        <f ca="1">IFERROR(__xludf.DUMMYFUNCTION("""COMPUTED_VALUE"""),9.6)</f>
        <v>9.6</v>
      </c>
      <c r="X47" s="9">
        <f ca="1">IFERROR(__xludf.DUMMYFUNCTION("""COMPUTED_VALUE"""),9.6)</f>
        <v>9.6</v>
      </c>
      <c r="Y47" s="9"/>
      <c r="Z47" s="9"/>
      <c r="AA47" s="9"/>
      <c r="AB47" s="9"/>
      <c r="AC47" s="9"/>
      <c r="AD47" s="20"/>
      <c r="AE47" s="10"/>
      <c r="AF47" s="11"/>
      <c r="AG47" s="11"/>
      <c r="AH47" s="11"/>
      <c r="AI47" s="11"/>
      <c r="AJ47" s="2"/>
    </row>
    <row r="48" spans="1:36" ht="14.4" customHeight="1" x14ac:dyDescent="0.25">
      <c r="A48" s="9">
        <f ca="1">IFERROR(__xludf.DUMMYFUNCTION("""COMPUTED_VALUE"""),47)</f>
        <v>47</v>
      </c>
      <c r="B48" s="9"/>
      <c r="C48" s="9"/>
      <c r="D48" s="9" t="str">
        <f ca="1">IFERROR(__xludf.DUMMYFUNCTION("""COMPUTED_VALUE"""),"15/08/2024")</f>
        <v>15/08/2024</v>
      </c>
      <c r="E48" s="23" t="str">
        <f ca="1">IFERROR(__xludf.DUMMYFUNCTION("""COMPUTED_VALUE"""),"Player")</f>
        <v>Player</v>
      </c>
      <c r="F48" s="9"/>
      <c r="G48" s="9"/>
      <c r="H48" s="9"/>
      <c r="I48" s="9"/>
      <c r="J48" s="9">
        <f ca="1">IFERROR(__xludf.DUMMYFUNCTION("""COMPUTED_VALUE"""),100)</f>
        <v>100</v>
      </c>
      <c r="K48" s="9"/>
      <c r="L48" s="9"/>
      <c r="M48" s="9" t="str">
        <f ca="1">IFERROR(__xludf.DUMMYFUNCTION("""COMPUTED_VALUE"""),"Jugovic")</f>
        <v>Jugovic</v>
      </c>
      <c r="N48" s="9" t="str">
        <f ca="1">IFERROR(__xludf.DUMMYFUNCTION("""COMPUTED_VALUE"""),"SRB")</f>
        <v>SRB</v>
      </c>
      <c r="O48" s="9" t="str">
        <f ca="1">IFERROR(__xludf.DUMMYFUNCTION("""COMPUTED_VALUE"""),"Fontana")</f>
        <v>Fontana</v>
      </c>
      <c r="P48" s="9" t="str">
        <f ca="1">IFERROR(__xludf.DUMMYFUNCTION("""COMPUTED_VALUE"""),"Double")</f>
        <v>Double</v>
      </c>
      <c r="Q48" s="9"/>
      <c r="R48" s="9"/>
      <c r="S48" s="9" t="str">
        <f ca="1">IFERROR(__xludf.DUMMYFUNCTION("""COMPUTED_VALUE"""),"20/10/2024")</f>
        <v>20/10/2024</v>
      </c>
      <c r="T48" s="9" t="str">
        <f ca="1">IFERROR(__xludf.DUMMYFUNCTION("""COMPUTED_VALUE"""),"26/10/2024")</f>
        <v>26/10/2024</v>
      </c>
      <c r="U48" s="9">
        <f ca="1">IFERROR(__xludf.DUMMYFUNCTION("""COMPUTED_VALUE"""),6)</f>
        <v>6</v>
      </c>
      <c r="V48" s="9">
        <f ca="1">IFERROR(__xludf.DUMMYFUNCTION("""COMPUTED_VALUE"""),0)</f>
        <v>0</v>
      </c>
      <c r="W48" s="9">
        <f ca="1">IFERROR(__xludf.DUMMYFUNCTION("""COMPUTED_VALUE"""),9.6)</f>
        <v>9.6</v>
      </c>
      <c r="X48" s="9">
        <f ca="1">IFERROR(__xludf.DUMMYFUNCTION("""COMPUTED_VALUE"""),9.6)</f>
        <v>9.6</v>
      </c>
      <c r="Y48" s="9"/>
      <c r="Z48" s="9"/>
      <c r="AA48" s="9"/>
      <c r="AB48" s="9"/>
      <c r="AC48" s="9"/>
      <c r="AD48" s="20"/>
      <c r="AE48" s="10"/>
      <c r="AF48" s="11"/>
      <c r="AG48" s="11"/>
      <c r="AH48" s="11"/>
      <c r="AI48" s="11"/>
      <c r="AJ48" s="2"/>
    </row>
    <row r="49" spans="1:36" ht="14.4" customHeight="1" x14ac:dyDescent="0.25">
      <c r="A49" s="9">
        <f ca="1">IFERROR(__xludf.DUMMYFUNCTION("""COMPUTED_VALUE"""),48)</f>
        <v>48</v>
      </c>
      <c r="B49" s="9"/>
      <c r="C49" s="9"/>
      <c r="D49" s="9" t="str">
        <f ca="1">IFERROR(__xludf.DUMMYFUNCTION("""COMPUTED_VALUE"""),"15/08/2024")</f>
        <v>15/08/2024</v>
      </c>
      <c r="E49" s="23" t="str">
        <f ca="1">IFERROR(__xludf.DUMMYFUNCTION("""COMPUTED_VALUE"""),"Player")</f>
        <v>Player</v>
      </c>
      <c r="F49" s="9"/>
      <c r="G49" s="9"/>
      <c r="H49" s="9"/>
      <c r="I49" s="9"/>
      <c r="J49" s="9">
        <f ca="1">IFERROR(__xludf.DUMMYFUNCTION("""COMPUTED_VALUE"""),100)</f>
        <v>100</v>
      </c>
      <c r="K49" s="9"/>
      <c r="L49" s="9"/>
      <c r="M49" s="9" t="str">
        <f ca="1">IFERROR(__xludf.DUMMYFUNCTION("""COMPUTED_VALUE"""),"Jugovic")</f>
        <v>Jugovic</v>
      </c>
      <c r="N49" s="9" t="str">
        <f ca="1">IFERROR(__xludf.DUMMYFUNCTION("""COMPUTED_VALUE"""),"SRB")</f>
        <v>SRB</v>
      </c>
      <c r="O49" s="9" t="str">
        <f ca="1">IFERROR(__xludf.DUMMYFUNCTION("""COMPUTED_VALUE"""),"Fontana")</f>
        <v>Fontana</v>
      </c>
      <c r="P49" s="9" t="str">
        <f ca="1">IFERROR(__xludf.DUMMYFUNCTION("""COMPUTED_VALUE"""),"Single")</f>
        <v>Single</v>
      </c>
      <c r="Q49" s="9"/>
      <c r="R49" s="9"/>
      <c r="S49" s="9" t="str">
        <f ca="1">IFERROR(__xludf.DUMMYFUNCTION("""COMPUTED_VALUE"""),"20/10/2024")</f>
        <v>20/10/2024</v>
      </c>
      <c r="T49" s="9" t="str">
        <f ca="1">IFERROR(__xludf.DUMMYFUNCTION("""COMPUTED_VALUE"""),"26/10/2024")</f>
        <v>26/10/2024</v>
      </c>
      <c r="U49" s="9">
        <f ca="1">IFERROR(__xludf.DUMMYFUNCTION("""COMPUTED_VALUE"""),6)</f>
        <v>6</v>
      </c>
      <c r="V49" s="9">
        <f ca="1">IFERROR(__xludf.DUMMYFUNCTION("""COMPUTED_VALUE"""),0)</f>
        <v>0</v>
      </c>
      <c r="W49" s="9">
        <f ca="1">IFERROR(__xludf.DUMMYFUNCTION("""COMPUTED_VALUE"""),9.6)</f>
        <v>9.6</v>
      </c>
      <c r="X49" s="9">
        <f ca="1">IFERROR(__xludf.DUMMYFUNCTION("""COMPUTED_VALUE"""),9.6)</f>
        <v>9.6</v>
      </c>
      <c r="Y49" s="9"/>
      <c r="Z49" s="9"/>
      <c r="AA49" s="9"/>
      <c r="AB49" s="9"/>
      <c r="AC49" s="9"/>
      <c r="AD49" s="20"/>
      <c r="AE49" s="10"/>
      <c r="AF49" s="11"/>
      <c r="AG49" s="11"/>
      <c r="AH49" s="11"/>
      <c r="AI49" s="11"/>
      <c r="AJ49" s="2"/>
    </row>
    <row r="50" spans="1:36" ht="14.4" customHeight="1" x14ac:dyDescent="0.25">
      <c r="A50" s="9">
        <f ca="1">IFERROR(__xludf.DUMMYFUNCTION("""COMPUTED_VALUE"""),49)</f>
        <v>49</v>
      </c>
      <c r="B50" s="9"/>
      <c r="C50" s="9"/>
      <c r="D50" s="9" t="str">
        <f ca="1">IFERROR(__xludf.DUMMYFUNCTION("""COMPUTED_VALUE"""),"15/08/2024")</f>
        <v>15/08/2024</v>
      </c>
      <c r="E50" s="23" t="str">
        <f ca="1">IFERROR(__xludf.DUMMYFUNCTION("""COMPUTED_VALUE"""),"Player")</f>
        <v>Player</v>
      </c>
      <c r="F50" s="9" t="str">
        <f ca="1">IFERROR(__xludf.DUMMYFUNCTION("""COMPUTED_VALUE"""),"Olde, Margareth")</f>
        <v>Olde, Margareth</v>
      </c>
      <c r="G50" s="9" t="str">
        <f ca="1">IFERROR(__xludf.DUMMYFUNCTION("""COMPUTED_VALUE"""),"EST")</f>
        <v>EST</v>
      </c>
      <c r="H50" s="9" t="str">
        <f ca="1">IFERROR(__xludf.DUMMYFUNCTION("""COMPUTED_VALUE"""),"WIM")</f>
        <v>WIM</v>
      </c>
      <c r="I50" s="9"/>
      <c r="J50" s="9">
        <f ca="1">IFERROR(__xludf.DUMMYFUNCTION("""COMPUTED_VALUE"""),100)</f>
        <v>100</v>
      </c>
      <c r="K50" s="9"/>
      <c r="L50" s="9"/>
      <c r="M50" s="9" t="str">
        <f ca="1">IFERROR(__xludf.DUMMYFUNCTION("""COMPUTED_VALUE"""),"Tallinn Chess Club")</f>
        <v>Tallinn Chess Club</v>
      </c>
      <c r="N50" s="9" t="str">
        <f ca="1">IFERROR(__xludf.DUMMYFUNCTION("""COMPUTED_VALUE"""),"EST")</f>
        <v>EST</v>
      </c>
      <c r="O50" s="9" t="str">
        <f ca="1">IFERROR(__xludf.DUMMYFUNCTION("""COMPUTED_VALUE"""),"Tonanti")</f>
        <v>Tonanti</v>
      </c>
      <c r="P50" s="9" t="str">
        <f ca="1">IFERROR(__xludf.DUMMYFUNCTION("""COMPUTED_VALUE"""),"Double")</f>
        <v>Double</v>
      </c>
      <c r="Q50" s="9" t="str">
        <f ca="1">IFERROR(__xludf.DUMMYFUNCTION("""COMPUTED_VALUE"""),"Olde, Grete")</f>
        <v>Olde, Grete</v>
      </c>
      <c r="R50" s="9">
        <f ca="1">IFERROR(__xludf.DUMMYFUNCTION("""COMPUTED_VALUE"""),85)</f>
        <v>85</v>
      </c>
      <c r="S50" s="9" t="str">
        <f ca="1">IFERROR(__xludf.DUMMYFUNCTION("""COMPUTED_VALUE"""),"19/10/2024")</f>
        <v>19/10/2024</v>
      </c>
      <c r="T50" s="9" t="str">
        <f ca="1">IFERROR(__xludf.DUMMYFUNCTION("""COMPUTED_VALUE"""),"27/10/2024")</f>
        <v>27/10/2024</v>
      </c>
      <c r="U50" s="9">
        <f ca="1">IFERROR(__xludf.DUMMYFUNCTION("""COMPUTED_VALUE"""),8)</f>
        <v>8</v>
      </c>
      <c r="V50" s="9">
        <f ca="1">IFERROR(__xludf.DUMMYFUNCTION("""COMPUTED_VALUE"""),680)</f>
        <v>680</v>
      </c>
      <c r="W50" s="9">
        <f ca="1">IFERROR(__xludf.DUMMYFUNCTION("""COMPUTED_VALUE"""),12.8)</f>
        <v>12.8</v>
      </c>
      <c r="X50" s="9">
        <f ca="1">IFERROR(__xludf.DUMMYFUNCTION("""COMPUTED_VALUE"""),692.8)</f>
        <v>692.8</v>
      </c>
      <c r="Y50" s="9"/>
      <c r="Z50" s="9"/>
      <c r="AA50" s="9"/>
      <c r="AB50" s="9"/>
      <c r="AC50" s="9"/>
      <c r="AD50" s="36" t="str">
        <f ca="1">IFERROR(__xludf.DUMMYFUNCTION("""COMPUTED_VALUE"""),"YES")</f>
        <v>YES</v>
      </c>
      <c r="AE50" s="10" t="s">
        <v>15</v>
      </c>
      <c r="AF50" s="11" t="str">
        <f ca="1">IFERROR(__xludf.DUMMYFUNCTION("""COMPUTED_VALUE"""),"FR675")</f>
        <v>FR675</v>
      </c>
      <c r="AG50" s="11" t="str">
        <f ca="1">IFERROR(__xludf.DUMMYFUNCTION("""COMPUTED_VALUE"""),"27/10/2024")</f>
        <v>27/10/2024</v>
      </c>
      <c r="AH50" s="12">
        <f ca="1">IFERROR(__xludf.DUMMYFUNCTION("""COMPUTED_VALUE"""),0.659722222222222)</f>
        <v>0.65972222222222199</v>
      </c>
      <c r="AI50" s="11"/>
      <c r="AJ50" s="2" t="str">
        <f ca="1">IFERROR(__xludf.DUMMYFUNCTION("""COMPUTED_VALUE"""),"novo (polazak za Banju iz Centra BGD i povratak iz Nisa)")</f>
        <v>novo (polazak za Banju iz Centra BGD i povratak iz Nisa)</v>
      </c>
    </row>
    <row r="51" spans="1:36" ht="14.4" customHeight="1" x14ac:dyDescent="0.25">
      <c r="A51" s="9">
        <f ca="1">IFERROR(__xludf.DUMMYFUNCTION("""COMPUTED_VALUE"""),50)</f>
        <v>50</v>
      </c>
      <c r="B51" s="9"/>
      <c r="C51" s="9"/>
      <c r="D51" s="9" t="str">
        <f ca="1">IFERROR(__xludf.DUMMYFUNCTION("""COMPUTED_VALUE"""),"15/08/2024")</f>
        <v>15/08/2024</v>
      </c>
      <c r="E51" s="23" t="str">
        <f ca="1">IFERROR(__xludf.DUMMYFUNCTION("""COMPUTED_VALUE"""),"Player")</f>
        <v>Player</v>
      </c>
      <c r="F51" s="9" t="str">
        <f ca="1">IFERROR(__xludf.DUMMYFUNCTION("""COMPUTED_VALUE"""),"Olde, Grete")</f>
        <v>Olde, Grete</v>
      </c>
      <c r="G51" s="9" t="str">
        <f ca="1">IFERROR(__xludf.DUMMYFUNCTION("""COMPUTED_VALUE"""),"EST")</f>
        <v>EST</v>
      </c>
      <c r="H51" s="9" t="str">
        <f ca="1">IFERROR(__xludf.DUMMYFUNCTION("""COMPUTED_VALUE"""),"WCM")</f>
        <v>WCM</v>
      </c>
      <c r="I51" s="9"/>
      <c r="J51" s="9">
        <f ca="1">IFERROR(__xludf.DUMMYFUNCTION("""COMPUTED_VALUE"""),100)</f>
        <v>100</v>
      </c>
      <c r="K51" s="9"/>
      <c r="L51" s="9"/>
      <c r="M51" s="9" t="str">
        <f ca="1">IFERROR(__xludf.DUMMYFUNCTION("""COMPUTED_VALUE"""),"Tallinn Chess Club")</f>
        <v>Tallinn Chess Club</v>
      </c>
      <c r="N51" s="9" t="str">
        <f ca="1">IFERROR(__xludf.DUMMYFUNCTION("""COMPUTED_VALUE"""),"EST")</f>
        <v>EST</v>
      </c>
      <c r="O51" s="9" t="str">
        <f ca="1">IFERROR(__xludf.DUMMYFUNCTION("""COMPUTED_VALUE"""),"Tonanti")</f>
        <v>Tonanti</v>
      </c>
      <c r="P51" s="9" t="str">
        <f ca="1">IFERROR(__xludf.DUMMYFUNCTION("""COMPUTED_VALUE"""),"Double")</f>
        <v>Double</v>
      </c>
      <c r="Q51" s="9" t="str">
        <f ca="1">IFERROR(__xludf.DUMMYFUNCTION("""COMPUTED_VALUE"""),"Olde, Margareth")</f>
        <v>Olde, Margareth</v>
      </c>
      <c r="R51" s="9">
        <f ca="1">IFERROR(__xludf.DUMMYFUNCTION("""COMPUTED_VALUE"""),85)</f>
        <v>85</v>
      </c>
      <c r="S51" s="9" t="str">
        <f ca="1">IFERROR(__xludf.DUMMYFUNCTION("""COMPUTED_VALUE"""),"19/10/2024")</f>
        <v>19/10/2024</v>
      </c>
      <c r="T51" s="9" t="str">
        <f ca="1">IFERROR(__xludf.DUMMYFUNCTION("""COMPUTED_VALUE"""),"27/10/2024")</f>
        <v>27/10/2024</v>
      </c>
      <c r="U51" s="9">
        <f ca="1">IFERROR(__xludf.DUMMYFUNCTION("""COMPUTED_VALUE"""),8)</f>
        <v>8</v>
      </c>
      <c r="V51" s="9">
        <f ca="1">IFERROR(__xludf.DUMMYFUNCTION("""COMPUTED_VALUE"""),680)</f>
        <v>680</v>
      </c>
      <c r="W51" s="9">
        <f ca="1">IFERROR(__xludf.DUMMYFUNCTION("""COMPUTED_VALUE"""),12.8)</f>
        <v>12.8</v>
      </c>
      <c r="X51" s="9">
        <f ca="1">IFERROR(__xludf.DUMMYFUNCTION("""COMPUTED_VALUE"""),692.8)</f>
        <v>692.8</v>
      </c>
      <c r="Y51" s="9"/>
      <c r="Z51" s="9"/>
      <c r="AA51" s="9"/>
      <c r="AB51" s="9"/>
      <c r="AC51" s="9"/>
      <c r="AD51" s="36" t="str">
        <f ca="1">IFERROR(__xludf.DUMMYFUNCTION("""COMPUTED_VALUE"""),"YES")</f>
        <v>YES</v>
      </c>
      <c r="AE51" s="10" t="str">
        <f ca="1">IFERROR(__xludf.DUMMYFUNCTION("""COMPUTED_VALUE"""),"Beograd")</f>
        <v>Beograd</v>
      </c>
      <c r="AF51" s="11" t="str">
        <f ca="1">IFERROR(__xludf.DUMMYFUNCTION("""COMPUTED_VALUE"""),"LO572")</f>
        <v>LO572</v>
      </c>
      <c r="AG51" s="11" t="str">
        <f ca="1">IFERROR(__xludf.DUMMYFUNCTION("""COMPUTED_VALUE"""),"27/10/2024")</f>
        <v>27/10/2024</v>
      </c>
      <c r="AH51" s="12">
        <f ca="1">IFERROR(__xludf.DUMMYFUNCTION("""COMPUTED_VALUE"""),0.579861111111111)</f>
        <v>0.57986111111111105</v>
      </c>
      <c r="AI51" s="11"/>
      <c r="AJ51" s="2" t="str">
        <f ca="1">IFERROR(__xludf.DUMMYFUNCTION("""COMPUTED_VALUE"""),"novo ")</f>
        <v xml:space="preserve">novo </v>
      </c>
    </row>
    <row r="52" spans="1:36" ht="14.4" customHeight="1" x14ac:dyDescent="0.25">
      <c r="A52" s="9">
        <f ca="1">IFERROR(__xludf.DUMMYFUNCTION("""COMPUTED_VALUE"""),51)</f>
        <v>51</v>
      </c>
      <c r="B52" s="9"/>
      <c r="C52" s="9" t="str">
        <f ca="1">IFERROR(__xludf.DUMMYFUNCTION("""COMPUTED_VALUE"""),"redosled")</f>
        <v>redosled</v>
      </c>
      <c r="D52" s="9" t="str">
        <f ca="1">IFERROR(__xludf.DUMMYFUNCTION("""COMPUTED_VALUE"""),"15/08/2024")</f>
        <v>15/08/2024</v>
      </c>
      <c r="E52" s="23" t="str">
        <f ca="1">IFERROR(__xludf.DUMMYFUNCTION("""COMPUTED_VALUE"""),"Player")</f>
        <v>Player</v>
      </c>
      <c r="F52" s="9" t="str">
        <f ca="1">IFERROR(__xludf.DUMMYFUNCTION("""COMPUTED_VALUE"""),"Shadrina, Eva")</f>
        <v>Shadrina, Eva</v>
      </c>
      <c r="G52" s="9" t="str">
        <f ca="1">IFERROR(__xludf.DUMMYFUNCTION("""COMPUTED_VALUE"""),"EST")</f>
        <v>EST</v>
      </c>
      <c r="H52" s="9"/>
      <c r="I52" s="9"/>
      <c r="J52" s="9">
        <f ca="1">IFERROR(__xludf.DUMMYFUNCTION("""COMPUTED_VALUE"""),100)</f>
        <v>100</v>
      </c>
      <c r="K52" s="9"/>
      <c r="L52" s="9"/>
      <c r="M52" s="9" t="str">
        <f ca="1">IFERROR(__xludf.DUMMYFUNCTION("""COMPUTED_VALUE"""),"Tallinn Chess Club")</f>
        <v>Tallinn Chess Club</v>
      </c>
      <c r="N52" s="9" t="str">
        <f ca="1">IFERROR(__xludf.DUMMYFUNCTION("""COMPUTED_VALUE"""),"EST")</f>
        <v>EST</v>
      </c>
      <c r="O52" s="9" t="str">
        <f ca="1">IFERROR(__xludf.DUMMYFUNCTION("""COMPUTED_VALUE"""),"Tonanti")</f>
        <v>Tonanti</v>
      </c>
      <c r="P52" s="9" t="str">
        <f ca="1">IFERROR(__xludf.DUMMYFUNCTION("""COMPUTED_VALUE"""),"Double")</f>
        <v>Double</v>
      </c>
      <c r="Q52" s="9" t="str">
        <f ca="1">IFERROR(__xludf.DUMMYFUNCTION("""COMPUTED_VALUE"""),"Gancharova, Zhanna")</f>
        <v>Gancharova, Zhanna</v>
      </c>
      <c r="R52" s="9">
        <f ca="1">IFERROR(__xludf.DUMMYFUNCTION("""COMPUTED_VALUE"""),85)</f>
        <v>85</v>
      </c>
      <c r="S52" s="9" t="str">
        <f ca="1">IFERROR(__xludf.DUMMYFUNCTION("""COMPUTED_VALUE"""),"19/10/2024")</f>
        <v>19/10/2024</v>
      </c>
      <c r="T52" s="9" t="str">
        <f ca="1">IFERROR(__xludf.DUMMYFUNCTION("""COMPUTED_VALUE"""),"27/10/2024")</f>
        <v>27/10/2024</v>
      </c>
      <c r="U52" s="9">
        <f ca="1">IFERROR(__xludf.DUMMYFUNCTION("""COMPUTED_VALUE"""),8)</f>
        <v>8</v>
      </c>
      <c r="V52" s="9">
        <f ca="1">IFERROR(__xludf.DUMMYFUNCTION("""COMPUTED_VALUE"""),680)</f>
        <v>680</v>
      </c>
      <c r="W52" s="9">
        <f ca="1">IFERROR(__xludf.DUMMYFUNCTION("""COMPUTED_VALUE"""),12.8)</f>
        <v>12.8</v>
      </c>
      <c r="X52" s="9">
        <f ca="1">IFERROR(__xludf.DUMMYFUNCTION("""COMPUTED_VALUE"""),692.8)</f>
        <v>692.8</v>
      </c>
      <c r="Y52" s="9"/>
      <c r="Z52" s="9"/>
      <c r="AA52" s="9"/>
      <c r="AB52" s="9"/>
      <c r="AC52" s="9"/>
      <c r="AD52" s="36" t="str">
        <f ca="1">IFERROR(__xludf.DUMMYFUNCTION("""COMPUTED_VALUE"""),"YES")</f>
        <v>YES</v>
      </c>
      <c r="AE52" s="10" t="str">
        <f ca="1">IFERROR(__xludf.DUMMYFUNCTION("""COMPUTED_VALUE"""),"Beograd")</f>
        <v>Beograd</v>
      </c>
      <c r="AF52" s="11" t="str">
        <f ca="1">IFERROR(__xludf.DUMMYFUNCTION("""COMPUTED_VALUE"""),"AZ7083")</f>
        <v>AZ7083</v>
      </c>
      <c r="AG52" s="11" t="str">
        <f ca="1">IFERROR(__xludf.DUMMYFUNCTION("""COMPUTED_VALUE"""),"27/10/2024")</f>
        <v>27/10/2024</v>
      </c>
      <c r="AH52" s="12">
        <f ca="1">IFERROR(__xludf.DUMMYFUNCTION("""COMPUTED_VALUE"""),0.75)</f>
        <v>0.75</v>
      </c>
      <c r="AI52" s="11"/>
      <c r="AJ52" s="2" t="str">
        <f ca="1">IFERROR(__xludf.DUMMYFUNCTION("""COMPUTED_VALUE"""),"novo (polazak za Banju iz Centra BGD")</f>
        <v>novo (polazak za Banju iz Centra BGD</v>
      </c>
    </row>
    <row r="53" spans="1:36" ht="14.4" customHeight="1" x14ac:dyDescent="0.25">
      <c r="A53" s="9">
        <f ca="1">IFERROR(__xludf.DUMMYFUNCTION("""COMPUTED_VALUE"""),52)</f>
        <v>52</v>
      </c>
      <c r="B53" s="9"/>
      <c r="C53" s="9" t="str">
        <f ca="1">IFERROR(__xludf.DUMMYFUNCTION("""COMPUTED_VALUE"""),"redosled")</f>
        <v>redosled</v>
      </c>
      <c r="D53" s="9" t="str">
        <f ca="1">IFERROR(__xludf.DUMMYFUNCTION("""COMPUTED_VALUE"""),"15/08/2024")</f>
        <v>15/08/2024</v>
      </c>
      <c r="E53" s="23" t="str">
        <f ca="1">IFERROR(__xludf.DUMMYFUNCTION("""COMPUTED_VALUE"""),"Player")</f>
        <v>Player</v>
      </c>
      <c r="F53" s="9" t="str">
        <f ca="1">IFERROR(__xludf.DUMMYFUNCTION("""COMPUTED_VALUE"""),"Brokko, Margit")</f>
        <v>Brokko, Margit</v>
      </c>
      <c r="G53" s="9" t="str">
        <f ca="1">IFERROR(__xludf.DUMMYFUNCTION("""COMPUTED_VALUE"""),"EST")</f>
        <v>EST</v>
      </c>
      <c r="H53" s="9" t="str">
        <f ca="1">IFERROR(__xludf.DUMMYFUNCTION("""COMPUTED_VALUE"""),"WFM")</f>
        <v>WFM</v>
      </c>
      <c r="I53" s="9"/>
      <c r="J53" s="9">
        <f ca="1">IFERROR(__xludf.DUMMYFUNCTION("""COMPUTED_VALUE"""),100)</f>
        <v>100</v>
      </c>
      <c r="K53" s="9"/>
      <c r="L53" s="9"/>
      <c r="M53" s="9" t="str">
        <f ca="1">IFERROR(__xludf.DUMMYFUNCTION("""COMPUTED_VALUE"""),"Tallinn Chess Club")</f>
        <v>Tallinn Chess Club</v>
      </c>
      <c r="N53" s="9" t="str">
        <f ca="1">IFERROR(__xludf.DUMMYFUNCTION("""COMPUTED_VALUE"""),"EST")</f>
        <v>EST</v>
      </c>
      <c r="O53" s="9" t="str">
        <f ca="1">IFERROR(__xludf.DUMMYFUNCTION("""COMPUTED_VALUE"""),"Tonanti")</f>
        <v>Tonanti</v>
      </c>
      <c r="P53" s="9" t="str">
        <f ca="1">IFERROR(__xludf.DUMMYFUNCTION("""COMPUTED_VALUE"""),"Single")</f>
        <v>Single</v>
      </c>
      <c r="Q53" s="9"/>
      <c r="R53" s="9">
        <f ca="1">IFERROR(__xludf.DUMMYFUNCTION("""COMPUTED_VALUE"""),108)</f>
        <v>108</v>
      </c>
      <c r="S53" s="9" t="str">
        <f ca="1">IFERROR(__xludf.DUMMYFUNCTION("""COMPUTED_VALUE"""),"19/10/2024")</f>
        <v>19/10/2024</v>
      </c>
      <c r="T53" s="9" t="str">
        <f ca="1">IFERROR(__xludf.DUMMYFUNCTION("""COMPUTED_VALUE"""),"27/10/2024")</f>
        <v>27/10/2024</v>
      </c>
      <c r="U53" s="9">
        <f ca="1">IFERROR(__xludf.DUMMYFUNCTION("""COMPUTED_VALUE"""),8)</f>
        <v>8</v>
      </c>
      <c r="V53" s="9">
        <f ca="1">IFERROR(__xludf.DUMMYFUNCTION("""COMPUTED_VALUE"""),864)</f>
        <v>864</v>
      </c>
      <c r="W53" s="9">
        <f ca="1">IFERROR(__xludf.DUMMYFUNCTION("""COMPUTED_VALUE"""),12.8)</f>
        <v>12.8</v>
      </c>
      <c r="X53" s="9">
        <f ca="1">IFERROR(__xludf.DUMMYFUNCTION("""COMPUTED_VALUE"""),876.8)</f>
        <v>876.8</v>
      </c>
      <c r="Y53" s="9"/>
      <c r="Z53" s="9"/>
      <c r="AA53" s="9"/>
      <c r="AB53" s="9"/>
      <c r="AC53" s="9"/>
      <c r="AD53" s="36" t="str">
        <f ca="1">IFERROR(__xludf.DUMMYFUNCTION("""COMPUTED_VALUE"""),"YES")</f>
        <v>YES</v>
      </c>
      <c r="AE53" s="10" t="str">
        <f ca="1">IFERROR(__xludf.DUMMYFUNCTION("""COMPUTED_VALUE"""),"Beograd")</f>
        <v>Beograd</v>
      </c>
      <c r="AF53" s="11" t="str">
        <f ca="1">IFERROR(__xludf.DUMMYFUNCTION("""COMPUTED_VALUE"""),"LO572")</f>
        <v>LO572</v>
      </c>
      <c r="AG53" s="11" t="str">
        <f ca="1">IFERROR(__xludf.DUMMYFUNCTION("""COMPUTED_VALUE"""),"27/10/2024")</f>
        <v>27/10/2024</v>
      </c>
      <c r="AH53" s="12">
        <f ca="1">IFERROR(__xludf.DUMMYFUNCTION("""COMPUTED_VALUE"""),0.579861111111111)</f>
        <v>0.57986111111111105</v>
      </c>
      <c r="AI53" s="11"/>
      <c r="AJ53" s="2" t="str">
        <f ca="1">IFERROR(__xludf.DUMMYFUNCTION("""COMPUTED_VALUE"""),"novo (polazak za Banju iz Centra BGD")</f>
        <v>novo (polazak za Banju iz Centra BGD</v>
      </c>
    </row>
    <row r="54" spans="1:36" ht="14.4" customHeight="1" x14ac:dyDescent="0.25">
      <c r="A54" s="9">
        <f ca="1">IFERROR(__xludf.DUMMYFUNCTION("""COMPUTED_VALUE"""),53)</f>
        <v>53</v>
      </c>
      <c r="B54" s="9"/>
      <c r="C54" s="9"/>
      <c r="D54" s="9" t="str">
        <f ca="1">IFERROR(__xludf.DUMMYFUNCTION("""COMPUTED_VALUE"""),"15/08/2024")</f>
        <v>15/08/2024</v>
      </c>
      <c r="E54" s="23" t="s">
        <v>0</v>
      </c>
      <c r="F54" s="9" t="str">
        <f ca="1">IFERROR(__xludf.DUMMYFUNCTION("""COMPUTED_VALUE"""),"Gancharova, Zhanna")</f>
        <v>Gancharova, Zhanna</v>
      </c>
      <c r="G54" s="9" t="str">
        <f ca="1">IFERROR(__xludf.DUMMYFUNCTION("""COMPUTED_VALUE"""),"EST")</f>
        <v>EST</v>
      </c>
      <c r="H54" s="9"/>
      <c r="I54" s="9"/>
      <c r="J54" s="9">
        <f ca="1">IFERROR(__xludf.DUMMYFUNCTION("""COMPUTED_VALUE"""),100)</f>
        <v>100</v>
      </c>
      <c r="K54" s="9"/>
      <c r="L54" s="9"/>
      <c r="M54" s="9" t="str">
        <f ca="1">IFERROR(__xludf.DUMMYFUNCTION("""COMPUTED_VALUE"""),"Tallinn Chess Club")</f>
        <v>Tallinn Chess Club</v>
      </c>
      <c r="N54" s="9" t="str">
        <f ca="1">IFERROR(__xludf.DUMMYFUNCTION("""COMPUTED_VALUE"""),"EST")</f>
        <v>EST</v>
      </c>
      <c r="O54" s="9" t="str">
        <f ca="1">IFERROR(__xludf.DUMMYFUNCTION("""COMPUTED_VALUE"""),"Tonanti")</f>
        <v>Tonanti</v>
      </c>
      <c r="P54" s="9" t="str">
        <f ca="1">IFERROR(__xludf.DUMMYFUNCTION("""COMPUTED_VALUE"""),"Double")</f>
        <v>Double</v>
      </c>
      <c r="Q54" s="9" t="str">
        <f ca="1">IFERROR(__xludf.DUMMYFUNCTION("""COMPUTED_VALUE"""),"Shadrina, Eva")</f>
        <v>Shadrina, Eva</v>
      </c>
      <c r="R54" s="9">
        <f ca="1">IFERROR(__xludf.DUMMYFUNCTION("""COMPUTED_VALUE"""),85)</f>
        <v>85</v>
      </c>
      <c r="S54" s="9" t="str">
        <f ca="1">IFERROR(__xludf.DUMMYFUNCTION("""COMPUTED_VALUE"""),"19/10/2024")</f>
        <v>19/10/2024</v>
      </c>
      <c r="T54" s="9" t="str">
        <f ca="1">IFERROR(__xludf.DUMMYFUNCTION("""COMPUTED_VALUE"""),"27/10/2024")</f>
        <v>27/10/2024</v>
      </c>
      <c r="U54" s="9">
        <f ca="1">IFERROR(__xludf.DUMMYFUNCTION("""COMPUTED_VALUE"""),8)</f>
        <v>8</v>
      </c>
      <c r="V54" s="9">
        <f ca="1">IFERROR(__xludf.DUMMYFUNCTION("""COMPUTED_VALUE"""),680)</f>
        <v>680</v>
      </c>
      <c r="W54" s="9">
        <f ca="1">IFERROR(__xludf.DUMMYFUNCTION("""COMPUTED_VALUE"""),12.8)</f>
        <v>12.8</v>
      </c>
      <c r="X54" s="9">
        <f ca="1">IFERROR(__xludf.DUMMYFUNCTION("""COMPUTED_VALUE"""),692.8)</f>
        <v>692.8</v>
      </c>
      <c r="Y54" s="9"/>
      <c r="Z54" s="9"/>
      <c r="AA54" s="9"/>
      <c r="AB54" s="9"/>
      <c r="AC54" s="9"/>
      <c r="AD54" s="36" t="str">
        <f ca="1">IFERROR(__xludf.DUMMYFUNCTION("""COMPUTED_VALUE"""),"YES")</f>
        <v>YES</v>
      </c>
      <c r="AE54" s="10" t="str">
        <f ca="1">IFERROR(__xludf.DUMMYFUNCTION("""COMPUTED_VALUE"""),"Beograd")</f>
        <v>Beograd</v>
      </c>
      <c r="AF54" s="11" t="str">
        <f ca="1">IFERROR(__xludf.DUMMYFUNCTION("""COMPUTED_VALUE"""),"AZ7083")</f>
        <v>AZ7083</v>
      </c>
      <c r="AG54" s="11" t="str">
        <f ca="1">IFERROR(__xludf.DUMMYFUNCTION("""COMPUTED_VALUE"""),"27/10/2024")</f>
        <v>27/10/2024</v>
      </c>
      <c r="AH54" s="12">
        <f ca="1">IFERROR(__xludf.DUMMYFUNCTION("""COMPUTED_VALUE"""),0.75)</f>
        <v>0.75</v>
      </c>
      <c r="AI54" s="11"/>
      <c r="AJ54" s="2" t="str">
        <f ca="1">IFERROR(__xludf.DUMMYFUNCTION("""COMPUTED_VALUE"""),"novo (polazak za Banju iz Centra BGD")</f>
        <v>novo (polazak za Banju iz Centra BGD</v>
      </c>
    </row>
    <row r="55" spans="1:36" ht="14.4" customHeight="1" x14ac:dyDescent="0.25">
      <c r="A55" s="9">
        <f ca="1">IFERROR(__xludf.DUMMYFUNCTION("""COMPUTED_VALUE"""),54)</f>
        <v>54</v>
      </c>
      <c r="B55" s="9"/>
      <c r="C55" s="9"/>
      <c r="D55" s="9" t="str">
        <f ca="1">IFERROR(__xludf.DUMMYFUNCTION("""COMPUTED_VALUE"""),"15/08/2024")</f>
        <v>15/08/2024</v>
      </c>
      <c r="E55" s="23" t="str">
        <f ca="1">IFERROR(__xludf.DUMMYFUNCTION("""COMPUTED_VALUE"""),"Player")</f>
        <v>Player</v>
      </c>
      <c r="F55" s="9" t="str">
        <f ca="1">IFERROR(__xludf.DUMMYFUNCTION("""COMPUTED_VALUE"""),"Van Foreest, Machteld")</f>
        <v>Van Foreest, Machteld</v>
      </c>
      <c r="G55" s="9" t="str">
        <f ca="1">IFERROR(__xludf.DUMMYFUNCTION("""COMPUTED_VALUE"""),"NED")</f>
        <v>NED</v>
      </c>
      <c r="H55" s="9" t="str">
        <f ca="1">IFERROR(__xludf.DUMMYFUNCTION("""COMPUTED_VALUE"""),"FM")</f>
        <v>FM</v>
      </c>
      <c r="I55" s="9"/>
      <c r="J55" s="9">
        <f ca="1">IFERROR(__xludf.DUMMYFUNCTION("""COMPUTED_VALUE"""),100)</f>
        <v>100</v>
      </c>
      <c r="K55" s="9"/>
      <c r="L55" s="9"/>
      <c r="M55" s="9" t="s">
        <v>4</v>
      </c>
      <c r="N55" s="9" t="str">
        <f ca="1">IFERROR(__xludf.DUMMYFUNCTION("""COMPUTED_VALUE"""),"GER")</f>
        <v>GER</v>
      </c>
      <c r="O55" s="9" t="str">
        <f ca="1">IFERROR(__xludf.DUMMYFUNCTION("""COMPUTED_VALUE"""),"Zepter")</f>
        <v>Zepter</v>
      </c>
      <c r="P55" s="9" t="str">
        <f ca="1">IFERROR(__xludf.DUMMYFUNCTION("""COMPUTED_VALUE"""),"Double")</f>
        <v>Double</v>
      </c>
      <c r="Q55" s="9" t="str">
        <f ca="1">IFERROR(__xludf.DUMMYFUNCTION("""COMPUTED_VALUE"""),"Muetsch")</f>
        <v>Muetsch</v>
      </c>
      <c r="R55" s="9">
        <f ca="1">IFERROR(__xludf.DUMMYFUNCTION("""COMPUTED_VALUE"""),82)</f>
        <v>82</v>
      </c>
      <c r="S55" s="9" t="str">
        <f ca="1">IFERROR(__xludf.DUMMYFUNCTION("""COMPUTED_VALUE"""),"19/10/2024")</f>
        <v>19/10/2024</v>
      </c>
      <c r="T55" s="9" t="str">
        <f ca="1">IFERROR(__xludf.DUMMYFUNCTION("""COMPUTED_VALUE"""),"27/10/2024")</f>
        <v>27/10/2024</v>
      </c>
      <c r="U55" s="9">
        <f ca="1">IFERROR(__xludf.DUMMYFUNCTION("""COMPUTED_VALUE"""),8)</f>
        <v>8</v>
      </c>
      <c r="V55" s="9">
        <f ca="1">IFERROR(__xludf.DUMMYFUNCTION("""COMPUTED_VALUE"""),656)</f>
        <v>656</v>
      </c>
      <c r="W55" s="9">
        <f ca="1">IFERROR(__xludf.DUMMYFUNCTION("""COMPUTED_VALUE"""),12.8)</f>
        <v>12.8</v>
      </c>
      <c r="X55" s="9">
        <f ca="1">IFERROR(__xludf.DUMMYFUNCTION("""COMPUTED_VALUE"""),668.8)</f>
        <v>668.8</v>
      </c>
      <c r="Y55" s="9"/>
      <c r="Z55" s="9"/>
      <c r="AA55" s="9"/>
      <c r="AB55" s="9"/>
      <c r="AC55" s="9"/>
      <c r="AD55" s="34" t="str">
        <f ca="1">IFERROR(__xludf.DUMMYFUNCTION("""COMPUTED_VALUE"""),"YES")</f>
        <v>YES</v>
      </c>
      <c r="AE55" s="10" t="str">
        <f ca="1">IFERROR(__xludf.DUMMYFUNCTION("""COMPUTED_VALUE"""),"Beograd")</f>
        <v>Beograd</v>
      </c>
      <c r="AF55" s="11" t="str">
        <f ca="1">IFERROR(__xludf.DUMMYFUNCTION("""COMPUTED_VALUE"""),"JU 262")</f>
        <v>JU 262</v>
      </c>
      <c r="AG55" s="11" t="str">
        <f ca="1">IFERROR(__xludf.DUMMYFUNCTION("""COMPUTED_VALUE"""),"27/10/2024")</f>
        <v>27/10/2024</v>
      </c>
      <c r="AH55" s="12">
        <f ca="1">IFERROR(__xludf.DUMMYFUNCTION("""COMPUTED_VALUE"""),0.739583333333333)</f>
        <v>0.73958333333333304</v>
      </c>
      <c r="AI55" s="11"/>
      <c r="AJ55" s="2"/>
    </row>
    <row r="56" spans="1:36" ht="14.4" customHeight="1" x14ac:dyDescent="0.25">
      <c r="A56" s="9">
        <f ca="1">IFERROR(__xludf.DUMMYFUNCTION("""COMPUTED_VALUE"""),55)</f>
        <v>55</v>
      </c>
      <c r="B56" s="9"/>
      <c r="C56" s="9"/>
      <c r="D56" s="9" t="str">
        <f ca="1">IFERROR(__xludf.DUMMYFUNCTION("""COMPUTED_VALUE"""),"15/08/2024")</f>
        <v>15/08/2024</v>
      </c>
      <c r="E56" s="23" t="str">
        <f ca="1">IFERROR(__xludf.DUMMYFUNCTION("""COMPUTED_VALUE"""),"Player")</f>
        <v>Player</v>
      </c>
      <c r="F56" s="9" t="str">
        <f ca="1">IFERROR(__xludf.DUMMYFUNCTION("""COMPUTED_VALUE"""),"Muetsch, Annmarie")</f>
        <v>Muetsch, Annmarie</v>
      </c>
      <c r="G56" s="9" t="str">
        <f ca="1">IFERROR(__xludf.DUMMYFUNCTION("""COMPUTED_VALUE"""),"GER")</f>
        <v>GER</v>
      </c>
      <c r="H56" s="9" t="str">
        <f ca="1">IFERROR(__xludf.DUMMYFUNCTION("""COMPUTED_VALUE"""),"WIM")</f>
        <v>WIM</v>
      </c>
      <c r="I56" s="9"/>
      <c r="J56" s="9">
        <f ca="1">IFERROR(__xludf.DUMMYFUNCTION("""COMPUTED_VALUE"""),100)</f>
        <v>100</v>
      </c>
      <c r="K56" s="9"/>
      <c r="L56" s="9"/>
      <c r="M56" s="9" t="s">
        <v>4</v>
      </c>
      <c r="N56" s="9" t="str">
        <f ca="1">IFERROR(__xludf.DUMMYFUNCTION("""COMPUTED_VALUE"""),"GER")</f>
        <v>GER</v>
      </c>
      <c r="O56" s="9" t="str">
        <f ca="1">IFERROR(__xludf.DUMMYFUNCTION("""COMPUTED_VALUE"""),"Zepter")</f>
        <v>Zepter</v>
      </c>
      <c r="P56" s="9" t="str">
        <f ca="1">IFERROR(__xludf.DUMMYFUNCTION("""COMPUTED_VALUE"""),"Double")</f>
        <v>Double</v>
      </c>
      <c r="Q56" s="9" t="str">
        <f ca="1">IFERROR(__xludf.DUMMYFUNCTION("""COMPUTED_VALUE"""),"van Foreest")</f>
        <v>van Foreest</v>
      </c>
      <c r="R56" s="9">
        <f ca="1">IFERROR(__xludf.DUMMYFUNCTION("""COMPUTED_VALUE"""),82)</f>
        <v>82</v>
      </c>
      <c r="S56" s="9" t="str">
        <f ca="1">IFERROR(__xludf.DUMMYFUNCTION("""COMPUTED_VALUE"""),"19/10/2024")</f>
        <v>19/10/2024</v>
      </c>
      <c r="T56" s="9" t="str">
        <f ca="1">IFERROR(__xludf.DUMMYFUNCTION("""COMPUTED_VALUE"""),"27/10/2024")</f>
        <v>27/10/2024</v>
      </c>
      <c r="U56" s="9">
        <f ca="1">IFERROR(__xludf.DUMMYFUNCTION("""COMPUTED_VALUE"""),8)</f>
        <v>8</v>
      </c>
      <c r="V56" s="9">
        <f ca="1">IFERROR(__xludf.DUMMYFUNCTION("""COMPUTED_VALUE"""),656)</f>
        <v>656</v>
      </c>
      <c r="W56" s="9">
        <f ca="1">IFERROR(__xludf.DUMMYFUNCTION("""COMPUTED_VALUE"""),12.8)</f>
        <v>12.8</v>
      </c>
      <c r="X56" s="9">
        <f ca="1">IFERROR(__xludf.DUMMYFUNCTION("""COMPUTED_VALUE"""),668.8)</f>
        <v>668.8</v>
      </c>
      <c r="Y56" s="9"/>
      <c r="Z56" s="9"/>
      <c r="AA56" s="9"/>
      <c r="AB56" s="9"/>
      <c r="AC56" s="9"/>
      <c r="AD56" s="34" t="str">
        <f ca="1">IFERROR(__xludf.DUMMYFUNCTION("""COMPUTED_VALUE"""),"YES")</f>
        <v>YES</v>
      </c>
      <c r="AE56" s="10" t="str">
        <f ca="1">IFERROR(__xludf.DUMMYFUNCTION("""COMPUTED_VALUE"""),"Beograd")</f>
        <v>Beograd</v>
      </c>
      <c r="AF56" s="11" t="str">
        <f ca="1">IFERROR(__xludf.DUMMYFUNCTION("""COMPUTED_VALUE"""),"W6 4045")</f>
        <v>W6 4045</v>
      </c>
      <c r="AG56" s="11" t="str">
        <f ca="1">IFERROR(__xludf.DUMMYFUNCTION("""COMPUTED_VALUE"""),"27/10/2024")</f>
        <v>27/10/2024</v>
      </c>
      <c r="AH56" s="12">
        <f ca="1">IFERROR(__xludf.DUMMYFUNCTION("""COMPUTED_VALUE"""),0.538194444444444)</f>
        <v>0.53819444444444398</v>
      </c>
      <c r="AI56" s="11"/>
      <c r="AJ56" s="2"/>
    </row>
    <row r="57" spans="1:36" ht="14.4" customHeight="1" x14ac:dyDescent="0.25">
      <c r="A57" s="9">
        <f ca="1">IFERROR(__xludf.DUMMYFUNCTION("""COMPUTED_VALUE"""),56)</f>
        <v>56</v>
      </c>
      <c r="B57" s="9"/>
      <c r="C57" s="9"/>
      <c r="D57" s="9" t="str">
        <f ca="1">IFERROR(__xludf.DUMMYFUNCTION("""COMPUTED_VALUE"""),"15/08/2024")</f>
        <v>15/08/2024</v>
      </c>
      <c r="E57" s="23" t="str">
        <f ca="1">IFERROR(__xludf.DUMMYFUNCTION("""COMPUTED_VALUE"""),"Player")</f>
        <v>Player</v>
      </c>
      <c r="F57" s="9" t="str">
        <f ca="1">IFERROR(__xludf.DUMMYFUNCTION("""COMPUTED_VALUE"""),"Bashylina, Luisa")</f>
        <v>Bashylina, Luisa</v>
      </c>
      <c r="G57" s="9" t="str">
        <f ca="1">IFERROR(__xludf.DUMMYFUNCTION("""COMPUTED_VALUE"""),"GER")</f>
        <v>GER</v>
      </c>
      <c r="H57" s="9" t="str">
        <f ca="1">IFERROR(__xludf.DUMMYFUNCTION("""COMPUTED_VALUE"""),"WFM")</f>
        <v>WFM</v>
      </c>
      <c r="I57" s="9"/>
      <c r="J57" s="9">
        <f ca="1">IFERROR(__xludf.DUMMYFUNCTION("""COMPUTED_VALUE"""),100)</f>
        <v>100</v>
      </c>
      <c r="K57" s="9"/>
      <c r="L57" s="9"/>
      <c r="M57" s="9" t="s">
        <v>4</v>
      </c>
      <c r="N57" s="9" t="str">
        <f ca="1">IFERROR(__xludf.DUMMYFUNCTION("""COMPUTED_VALUE"""),"GER")</f>
        <v>GER</v>
      </c>
      <c r="O57" s="9" t="str">
        <f ca="1">IFERROR(__xludf.DUMMYFUNCTION("""COMPUTED_VALUE"""),"Zepter")</f>
        <v>Zepter</v>
      </c>
      <c r="P57" s="9" t="str">
        <f ca="1">IFERROR(__xludf.DUMMYFUNCTION("""COMPUTED_VALUE"""),"Double")</f>
        <v>Double</v>
      </c>
      <c r="Q57" s="9" t="str">
        <f ca="1">IFERROR(__xludf.DUMMYFUNCTION("""COMPUTED_VALUE"""),"Karacsonyi")</f>
        <v>Karacsonyi</v>
      </c>
      <c r="R57" s="9">
        <f ca="1">IFERROR(__xludf.DUMMYFUNCTION("""COMPUTED_VALUE"""),82)</f>
        <v>82</v>
      </c>
      <c r="S57" s="9" t="str">
        <f ca="1">IFERROR(__xludf.DUMMYFUNCTION("""COMPUTED_VALUE"""),"19/10/2024")</f>
        <v>19/10/2024</v>
      </c>
      <c r="T57" s="9" t="str">
        <f ca="1">IFERROR(__xludf.DUMMYFUNCTION("""COMPUTED_VALUE"""),"27/10/2024")</f>
        <v>27/10/2024</v>
      </c>
      <c r="U57" s="9">
        <f ca="1">IFERROR(__xludf.DUMMYFUNCTION("""COMPUTED_VALUE"""),8)</f>
        <v>8</v>
      </c>
      <c r="V57" s="9">
        <f ca="1">IFERROR(__xludf.DUMMYFUNCTION("""COMPUTED_VALUE"""),656)</f>
        <v>656</v>
      </c>
      <c r="W57" s="9">
        <f ca="1">IFERROR(__xludf.DUMMYFUNCTION("""COMPUTED_VALUE"""),12.8)</f>
        <v>12.8</v>
      </c>
      <c r="X57" s="9">
        <f ca="1">IFERROR(__xludf.DUMMYFUNCTION("""COMPUTED_VALUE"""),668.8)</f>
        <v>668.8</v>
      </c>
      <c r="Y57" s="9"/>
      <c r="Z57" s="9"/>
      <c r="AA57" s="9"/>
      <c r="AB57" s="9"/>
      <c r="AC57" s="9"/>
      <c r="AD57" s="34" t="str">
        <f ca="1">IFERROR(__xludf.DUMMYFUNCTION("""COMPUTED_VALUE"""),"YES")</f>
        <v>YES</v>
      </c>
      <c r="AE57" s="10" t="str">
        <f ca="1">IFERROR(__xludf.DUMMYFUNCTION("""COMPUTED_VALUE"""),"Beograd")</f>
        <v>Beograd</v>
      </c>
      <c r="AF57" s="11" t="str">
        <f ca="1">IFERROR(__xludf.DUMMYFUNCTION("""COMPUTED_VALUE"""),"JU 360")</f>
        <v>JU 360</v>
      </c>
      <c r="AG57" s="11" t="str">
        <f ca="1">IFERROR(__xludf.DUMMYFUNCTION("""COMPUTED_VALUE"""),"27/10/2024")</f>
        <v>27/10/2024</v>
      </c>
      <c r="AH57" s="12">
        <v>0.28125</v>
      </c>
      <c r="AI57" s="11"/>
      <c r="AJ57" s="2"/>
    </row>
    <row r="58" spans="1:36" ht="14.4" customHeight="1" x14ac:dyDescent="0.25">
      <c r="A58" s="9">
        <f ca="1">IFERROR(__xludf.DUMMYFUNCTION("""COMPUTED_VALUE"""),57)</f>
        <v>57</v>
      </c>
      <c r="B58" s="9"/>
      <c r="C58" s="9"/>
      <c r="D58" s="9" t="str">
        <f ca="1">IFERROR(__xludf.DUMMYFUNCTION("""COMPUTED_VALUE"""),"15/08/2024")</f>
        <v>15/08/2024</v>
      </c>
      <c r="E58" s="23" t="str">
        <f ca="1">IFERROR(__xludf.DUMMYFUNCTION("""COMPUTED_VALUE"""),"Player")</f>
        <v>Player</v>
      </c>
      <c r="F58" s="9" t="str">
        <f ca="1">IFERROR(__xludf.DUMMYFUNCTION("""COMPUTED_VALUE"""),"Karacsonyi, Kata")</f>
        <v>Karacsonyi, Kata</v>
      </c>
      <c r="G58" s="9" t="str">
        <f ca="1">IFERROR(__xludf.DUMMYFUNCTION("""COMPUTED_VALUE"""),"HUN")</f>
        <v>HUN</v>
      </c>
      <c r="H58" s="9" t="str">
        <f ca="1">IFERROR(__xludf.DUMMYFUNCTION("""COMPUTED_VALUE"""),"WFM")</f>
        <v>WFM</v>
      </c>
      <c r="I58" s="9"/>
      <c r="J58" s="9">
        <f ca="1">IFERROR(__xludf.DUMMYFUNCTION("""COMPUTED_VALUE"""),100)</f>
        <v>100</v>
      </c>
      <c r="K58" s="9"/>
      <c r="L58" s="9"/>
      <c r="M58" s="9" t="s">
        <v>4</v>
      </c>
      <c r="N58" s="9" t="str">
        <f ca="1">IFERROR(__xludf.DUMMYFUNCTION("""COMPUTED_VALUE"""),"GER")</f>
        <v>GER</v>
      </c>
      <c r="O58" s="9" t="str">
        <f ca="1">IFERROR(__xludf.DUMMYFUNCTION("""COMPUTED_VALUE"""),"Zepter")</f>
        <v>Zepter</v>
      </c>
      <c r="P58" s="9" t="str">
        <f ca="1">IFERROR(__xludf.DUMMYFUNCTION("""COMPUTED_VALUE"""),"Double")</f>
        <v>Double</v>
      </c>
      <c r="Q58" s="9" t="str">
        <f ca="1">IFERROR(__xludf.DUMMYFUNCTION("""COMPUTED_VALUE"""),"Bashylina")</f>
        <v>Bashylina</v>
      </c>
      <c r="R58" s="9">
        <f ca="1">IFERROR(__xludf.DUMMYFUNCTION("""COMPUTED_VALUE"""),82)</f>
        <v>82</v>
      </c>
      <c r="S58" s="9" t="str">
        <f ca="1">IFERROR(__xludf.DUMMYFUNCTION("""COMPUTED_VALUE"""),"19/10/2024")</f>
        <v>19/10/2024</v>
      </c>
      <c r="T58" s="9" t="str">
        <f ca="1">IFERROR(__xludf.DUMMYFUNCTION("""COMPUTED_VALUE"""),"27/10/2024")</f>
        <v>27/10/2024</v>
      </c>
      <c r="U58" s="9">
        <f ca="1">IFERROR(__xludf.DUMMYFUNCTION("""COMPUTED_VALUE"""),8)</f>
        <v>8</v>
      </c>
      <c r="V58" s="9">
        <f ca="1">IFERROR(__xludf.DUMMYFUNCTION("""COMPUTED_VALUE"""),656)</f>
        <v>656</v>
      </c>
      <c r="W58" s="9">
        <f ca="1">IFERROR(__xludf.DUMMYFUNCTION("""COMPUTED_VALUE"""),12.8)</f>
        <v>12.8</v>
      </c>
      <c r="X58" s="9">
        <f ca="1">IFERROR(__xludf.DUMMYFUNCTION("""COMPUTED_VALUE"""),668.8)</f>
        <v>668.8</v>
      </c>
      <c r="Y58" s="9"/>
      <c r="Z58" s="9"/>
      <c r="AA58" s="9"/>
      <c r="AB58" s="9"/>
      <c r="AC58" s="9"/>
      <c r="AD58" s="34" t="str">
        <f ca="1">IFERROR(__xludf.DUMMYFUNCTION("""COMPUTED_VALUE"""),"NO")</f>
        <v>NO</v>
      </c>
      <c r="AE58" s="10"/>
      <c r="AF58" s="11"/>
      <c r="AG58" s="11"/>
      <c r="AH58" s="11"/>
      <c r="AI58" s="11"/>
      <c r="AJ58" s="2"/>
    </row>
    <row r="59" spans="1:36" ht="14.4" customHeight="1" x14ac:dyDescent="0.25">
      <c r="A59" s="9">
        <f ca="1">IFERROR(__xludf.DUMMYFUNCTION("""COMPUTED_VALUE"""),58)</f>
        <v>58</v>
      </c>
      <c r="B59" s="9"/>
      <c r="C59" s="9"/>
      <c r="D59" s="9" t="str">
        <f ca="1">IFERROR(__xludf.DUMMYFUNCTION("""COMPUTED_VALUE"""),"16/08/2024")</f>
        <v>16/08/2024</v>
      </c>
      <c r="E59" s="23" t="str">
        <f ca="1">IFERROR(__xludf.DUMMYFUNCTION("""COMPUTED_VALUE"""),"Player")</f>
        <v>Player</v>
      </c>
      <c r="F59" s="9" t="str">
        <f ca="1">IFERROR(__xludf.DUMMYFUNCTION("""COMPUTED_VALUE"""),"Bivol, Alina")</f>
        <v>Bivol, Alina</v>
      </c>
      <c r="G59" s="9" t="str">
        <f ca="1">IFERROR(__xludf.DUMMYFUNCTION("""COMPUTED_VALUE"""),"FID")</f>
        <v>FID</v>
      </c>
      <c r="H59" s="9" t="str">
        <f ca="1">IFERROR(__xludf.DUMMYFUNCTION("""COMPUTED_VALUE"""),"IM")</f>
        <v>IM</v>
      </c>
      <c r="I59" s="9"/>
      <c r="J59" s="9">
        <f ca="1">IFERROR(__xludf.DUMMYFUNCTION("""COMPUTED_VALUE"""),100)</f>
        <v>100</v>
      </c>
      <c r="K59" s="9"/>
      <c r="L59" s="9"/>
      <c r="M59" s="9" t="str">
        <f ca="1">IFERROR(__xludf.DUMMYFUNCTION("""COMPUTED_VALUE"""),"Crvena zvezda")</f>
        <v>Crvena zvezda</v>
      </c>
      <c r="N59" s="9" t="str">
        <f ca="1">IFERROR(__xludf.DUMMYFUNCTION("""COMPUTED_VALUE"""),"SRB")</f>
        <v>SRB</v>
      </c>
      <c r="O59" s="9" t="str">
        <f ca="1">IFERROR(__xludf.DUMMYFUNCTION("""COMPUTED_VALUE"""),"Kralj")</f>
        <v>Kralj</v>
      </c>
      <c r="P59" s="9" t="str">
        <f ca="1">IFERROR(__xludf.DUMMYFUNCTION("""COMPUTED_VALUE"""),"Single")</f>
        <v>Single</v>
      </c>
      <c r="Q59" s="9"/>
      <c r="R59" s="9"/>
      <c r="S59" s="9" t="str">
        <f ca="1">IFERROR(__xludf.DUMMYFUNCTION("""COMPUTED_VALUE"""),"19/10/2024")</f>
        <v>19/10/2024</v>
      </c>
      <c r="T59" s="9" t="str">
        <f ca="1">IFERROR(__xludf.DUMMYFUNCTION("""COMPUTED_VALUE"""),"27/10/2024")</f>
        <v>27/10/2024</v>
      </c>
      <c r="U59" s="9">
        <f ca="1">IFERROR(__xludf.DUMMYFUNCTION("""COMPUTED_VALUE"""),8)</f>
        <v>8</v>
      </c>
      <c r="V59" s="9">
        <f ca="1">IFERROR(__xludf.DUMMYFUNCTION("""COMPUTED_VALUE"""),0)</f>
        <v>0</v>
      </c>
      <c r="W59" s="9">
        <f ca="1">IFERROR(__xludf.DUMMYFUNCTION("""COMPUTED_VALUE"""),12.8)</f>
        <v>12.8</v>
      </c>
      <c r="X59" s="9">
        <f ca="1">IFERROR(__xludf.DUMMYFUNCTION("""COMPUTED_VALUE"""),12.8)</f>
        <v>12.8</v>
      </c>
      <c r="Y59" s="9"/>
      <c r="Z59" s="9"/>
      <c r="AA59" s="9"/>
      <c r="AB59" s="9" t="str">
        <f ca="1">IFERROR(__xludf.DUMMYFUNCTION("""COMPUTED_VALUE"""),"nov hotel")</f>
        <v>nov hotel</v>
      </c>
      <c r="AC59" s="9"/>
      <c r="AD59" s="20"/>
      <c r="AE59" s="10"/>
      <c r="AF59" s="11"/>
      <c r="AG59" s="11"/>
      <c r="AH59" s="11"/>
      <c r="AI59" s="11"/>
      <c r="AJ59" s="2"/>
    </row>
    <row r="60" spans="1:36" ht="14.4" customHeight="1" x14ac:dyDescent="0.25">
      <c r="A60" s="9">
        <f ca="1">IFERROR(__xludf.DUMMYFUNCTION("""COMPUTED_VALUE"""),59)</f>
        <v>59</v>
      </c>
      <c r="B60" s="9"/>
      <c r="C60" s="9"/>
      <c r="D60" s="9" t="str">
        <f ca="1">IFERROR(__xludf.DUMMYFUNCTION("""COMPUTED_VALUE"""),"16/08/2024")</f>
        <v>16/08/2024</v>
      </c>
      <c r="E60" s="23" t="str">
        <f ca="1">IFERROR(__xludf.DUMMYFUNCTION("""COMPUTED_VALUE"""),"Player")</f>
        <v>Player</v>
      </c>
      <c r="F60" s="9" t="str">
        <f ca="1">IFERROR(__xludf.DUMMYFUNCTION("""COMPUTED_VALUE"""),"Velikic, Adela")</f>
        <v>Velikic, Adela</v>
      </c>
      <c r="G60" s="9" t="str">
        <f ca="1">IFERROR(__xludf.DUMMYFUNCTION("""COMPUTED_VALUE"""),"SRB")</f>
        <v>SRB</v>
      </c>
      <c r="H60" s="9" t="str">
        <f ca="1">IFERROR(__xludf.DUMMYFUNCTION("""COMPUTED_VALUE"""),"WIM")</f>
        <v>WIM</v>
      </c>
      <c r="I60" s="9"/>
      <c r="J60" s="9">
        <f ca="1">IFERROR(__xludf.DUMMYFUNCTION("""COMPUTED_VALUE"""),100)</f>
        <v>100</v>
      </c>
      <c r="K60" s="9"/>
      <c r="L60" s="9"/>
      <c r="M60" s="9" t="str">
        <f ca="1">IFERROR(__xludf.DUMMYFUNCTION("""COMPUTED_VALUE"""),"Crvena zvezda")</f>
        <v>Crvena zvezda</v>
      </c>
      <c r="N60" s="9" t="str">
        <f ca="1">IFERROR(__xludf.DUMMYFUNCTION("""COMPUTED_VALUE"""),"SRB")</f>
        <v>SRB</v>
      </c>
      <c r="O60" s="9" t="str">
        <f ca="1">IFERROR(__xludf.DUMMYFUNCTION("""COMPUTED_VALUE"""),"Kralj")</f>
        <v>Kralj</v>
      </c>
      <c r="P60" s="9" t="str">
        <f ca="1">IFERROR(__xludf.DUMMYFUNCTION("""COMPUTED_VALUE"""),"Double")</f>
        <v>Double</v>
      </c>
      <c r="Q60" s="9" t="str">
        <f ca="1">IFERROR(__xludf.DUMMYFUNCTION("""COMPUTED_VALUE"""),"Srdanovic")</f>
        <v>Srdanovic</v>
      </c>
      <c r="R60" s="9"/>
      <c r="S60" s="9" t="str">
        <f ca="1">IFERROR(__xludf.DUMMYFUNCTION("""COMPUTED_VALUE"""),"19/10/2024")</f>
        <v>19/10/2024</v>
      </c>
      <c r="T60" s="9" t="str">
        <f ca="1">IFERROR(__xludf.DUMMYFUNCTION("""COMPUTED_VALUE"""),"27/10/2024")</f>
        <v>27/10/2024</v>
      </c>
      <c r="U60" s="9">
        <f ca="1">IFERROR(__xludf.DUMMYFUNCTION("""COMPUTED_VALUE"""),8)</f>
        <v>8</v>
      </c>
      <c r="V60" s="9">
        <f ca="1">IFERROR(__xludf.DUMMYFUNCTION("""COMPUTED_VALUE"""),0)</f>
        <v>0</v>
      </c>
      <c r="W60" s="9">
        <f ca="1">IFERROR(__xludf.DUMMYFUNCTION("""COMPUTED_VALUE"""),12.8)</f>
        <v>12.8</v>
      </c>
      <c r="X60" s="9">
        <f ca="1">IFERROR(__xludf.DUMMYFUNCTION("""COMPUTED_VALUE"""),12.8)</f>
        <v>12.8</v>
      </c>
      <c r="Y60" s="9"/>
      <c r="Z60" s="9"/>
      <c r="AA60" s="9"/>
      <c r="AB60" s="9" t="str">
        <f ca="1">IFERROR(__xludf.DUMMYFUNCTION("""COMPUTED_VALUE"""),"nov hotel")</f>
        <v>nov hotel</v>
      </c>
      <c r="AC60" s="9"/>
      <c r="AD60" s="20"/>
      <c r="AE60" s="10"/>
      <c r="AF60" s="11"/>
      <c r="AG60" s="11"/>
      <c r="AH60" s="11"/>
      <c r="AI60" s="11"/>
      <c r="AJ60" s="2"/>
    </row>
    <row r="61" spans="1:36" ht="14.4" customHeight="1" x14ac:dyDescent="0.25">
      <c r="A61" s="9">
        <f ca="1">IFERROR(__xludf.DUMMYFUNCTION("""COMPUTED_VALUE"""),60)</f>
        <v>60</v>
      </c>
      <c r="B61" s="9"/>
      <c r="C61" s="9"/>
      <c r="D61" s="9" t="str">
        <f ca="1">IFERROR(__xludf.DUMMYFUNCTION("""COMPUTED_VALUE"""),"16/08/2024")</f>
        <v>16/08/2024</v>
      </c>
      <c r="E61" s="23" t="str">
        <f ca="1">IFERROR(__xludf.DUMMYFUNCTION("""COMPUTED_VALUE"""),"Player")</f>
        <v>Player</v>
      </c>
      <c r="F61" s="9" t="str">
        <f ca="1">IFERROR(__xludf.DUMMYFUNCTION("""COMPUTED_VALUE"""),"Zhurova, Anna")</f>
        <v>Zhurova, Anna</v>
      </c>
      <c r="G61" s="9" t="str">
        <f ca="1">IFERROR(__xludf.DUMMYFUNCTION("""COMPUTED_VALUE"""),"FID")</f>
        <v>FID</v>
      </c>
      <c r="H61" s="9" t="str">
        <f ca="1">IFERROR(__xludf.DUMMYFUNCTION("""COMPUTED_VALUE"""),"WFM")</f>
        <v>WFM</v>
      </c>
      <c r="I61" s="9"/>
      <c r="J61" s="9">
        <f ca="1">IFERROR(__xludf.DUMMYFUNCTION("""COMPUTED_VALUE"""),100)</f>
        <v>100</v>
      </c>
      <c r="K61" s="9"/>
      <c r="L61" s="9"/>
      <c r="M61" s="9" t="str">
        <f ca="1">IFERROR(__xludf.DUMMYFUNCTION("""COMPUTED_VALUE"""),"Crvena zvezda")</f>
        <v>Crvena zvezda</v>
      </c>
      <c r="N61" s="9" t="str">
        <f ca="1">IFERROR(__xludf.DUMMYFUNCTION("""COMPUTED_VALUE"""),"SRB")</f>
        <v>SRB</v>
      </c>
      <c r="O61" s="9" t="str">
        <f ca="1">IFERROR(__xludf.DUMMYFUNCTION("""COMPUTED_VALUE"""),"Kralj")</f>
        <v>Kralj</v>
      </c>
      <c r="P61" s="9" t="str">
        <f ca="1">IFERROR(__xludf.DUMMYFUNCTION("""COMPUTED_VALUE"""),"Single")</f>
        <v>Single</v>
      </c>
      <c r="Q61" s="9"/>
      <c r="R61" s="9"/>
      <c r="S61" s="9" t="str">
        <f ca="1">IFERROR(__xludf.DUMMYFUNCTION("""COMPUTED_VALUE"""),"19/10/2024")</f>
        <v>19/10/2024</v>
      </c>
      <c r="T61" s="9" t="str">
        <f ca="1">IFERROR(__xludf.DUMMYFUNCTION("""COMPUTED_VALUE"""),"27/10/2024")</f>
        <v>27/10/2024</v>
      </c>
      <c r="U61" s="9">
        <f ca="1">IFERROR(__xludf.DUMMYFUNCTION("""COMPUTED_VALUE"""),8)</f>
        <v>8</v>
      </c>
      <c r="V61" s="9">
        <f ca="1">IFERROR(__xludf.DUMMYFUNCTION("""COMPUTED_VALUE"""),0)</f>
        <v>0</v>
      </c>
      <c r="W61" s="9">
        <f ca="1">IFERROR(__xludf.DUMMYFUNCTION("""COMPUTED_VALUE"""),12.8)</f>
        <v>12.8</v>
      </c>
      <c r="X61" s="9">
        <f ca="1">IFERROR(__xludf.DUMMYFUNCTION("""COMPUTED_VALUE"""),12.8)</f>
        <v>12.8</v>
      </c>
      <c r="Y61" s="9"/>
      <c r="Z61" s="9"/>
      <c r="AA61" s="9"/>
      <c r="AB61" s="9" t="str">
        <f ca="1">IFERROR(__xludf.DUMMYFUNCTION("""COMPUTED_VALUE"""),"nov hotel")</f>
        <v>nov hotel</v>
      </c>
      <c r="AC61" s="9"/>
      <c r="AD61" s="20"/>
      <c r="AE61" s="10"/>
      <c r="AF61" s="11"/>
      <c r="AG61" s="11"/>
      <c r="AH61" s="11"/>
      <c r="AI61" s="11"/>
      <c r="AJ61" s="2"/>
    </row>
    <row r="62" spans="1:36" ht="14.4" customHeight="1" x14ac:dyDescent="0.25">
      <c r="A62" s="9">
        <f ca="1">IFERROR(__xludf.DUMMYFUNCTION("""COMPUTED_VALUE"""),61)</f>
        <v>61</v>
      </c>
      <c r="B62" s="9"/>
      <c r="C62" s="9"/>
      <c r="D62" s="9" t="str">
        <f ca="1">IFERROR(__xludf.DUMMYFUNCTION("""COMPUTED_VALUE"""),"16/08/2024")</f>
        <v>16/08/2024</v>
      </c>
      <c r="E62" s="23" t="str">
        <f ca="1">IFERROR(__xludf.DUMMYFUNCTION("""COMPUTED_VALUE"""),"Player")</f>
        <v>Player</v>
      </c>
      <c r="F62" s="9" t="str">
        <f ca="1">IFERROR(__xludf.DUMMYFUNCTION("""COMPUTED_VALUE"""),"Srdanovic, Jovana")</f>
        <v>Srdanovic, Jovana</v>
      </c>
      <c r="G62" s="9" t="str">
        <f ca="1">IFERROR(__xludf.DUMMYFUNCTION("""COMPUTED_VALUE"""),"SRB")</f>
        <v>SRB</v>
      </c>
      <c r="H62" s="9" t="str">
        <f ca="1">IFERROR(__xludf.DUMMYFUNCTION("""COMPUTED_VALUE"""),"WIM")</f>
        <v>WIM</v>
      </c>
      <c r="I62" s="9"/>
      <c r="J62" s="9">
        <f ca="1">IFERROR(__xludf.DUMMYFUNCTION("""COMPUTED_VALUE"""),100)</f>
        <v>100</v>
      </c>
      <c r="K62" s="9"/>
      <c r="L62" s="9"/>
      <c r="M62" s="9" t="str">
        <f ca="1">IFERROR(__xludf.DUMMYFUNCTION("""COMPUTED_VALUE"""),"Crvena zvezda")</f>
        <v>Crvena zvezda</v>
      </c>
      <c r="N62" s="9" t="str">
        <f ca="1">IFERROR(__xludf.DUMMYFUNCTION("""COMPUTED_VALUE"""),"SRB")</f>
        <v>SRB</v>
      </c>
      <c r="O62" s="9" t="str">
        <f ca="1">IFERROR(__xludf.DUMMYFUNCTION("""COMPUTED_VALUE"""),"Kralj")</f>
        <v>Kralj</v>
      </c>
      <c r="P62" s="9" t="str">
        <f ca="1">IFERROR(__xludf.DUMMYFUNCTION("""COMPUTED_VALUE"""),"Double")</f>
        <v>Double</v>
      </c>
      <c r="Q62" s="9" t="str">
        <f ca="1">IFERROR(__xludf.DUMMYFUNCTION("""COMPUTED_VALUE"""),"Velikic")</f>
        <v>Velikic</v>
      </c>
      <c r="R62" s="9"/>
      <c r="S62" s="9" t="str">
        <f ca="1">IFERROR(__xludf.DUMMYFUNCTION("""COMPUTED_VALUE"""),"19/10/2024")</f>
        <v>19/10/2024</v>
      </c>
      <c r="T62" s="9" t="str">
        <f ca="1">IFERROR(__xludf.DUMMYFUNCTION("""COMPUTED_VALUE"""),"27/10/2024")</f>
        <v>27/10/2024</v>
      </c>
      <c r="U62" s="9">
        <f ca="1">IFERROR(__xludf.DUMMYFUNCTION("""COMPUTED_VALUE"""),8)</f>
        <v>8</v>
      </c>
      <c r="V62" s="9">
        <f ca="1">IFERROR(__xludf.DUMMYFUNCTION("""COMPUTED_VALUE"""),0)</f>
        <v>0</v>
      </c>
      <c r="W62" s="9">
        <f ca="1">IFERROR(__xludf.DUMMYFUNCTION("""COMPUTED_VALUE"""),12.8)</f>
        <v>12.8</v>
      </c>
      <c r="X62" s="9">
        <f ca="1">IFERROR(__xludf.DUMMYFUNCTION("""COMPUTED_VALUE"""),12.8)</f>
        <v>12.8</v>
      </c>
      <c r="Y62" s="9"/>
      <c r="Z62" s="9"/>
      <c r="AA62" s="9"/>
      <c r="AB62" s="9" t="str">
        <f ca="1">IFERROR(__xludf.DUMMYFUNCTION("""COMPUTED_VALUE"""),"nov hotel")</f>
        <v>nov hotel</v>
      </c>
      <c r="AC62" s="9"/>
      <c r="AD62" s="20"/>
      <c r="AE62" s="10"/>
      <c r="AF62" s="11"/>
      <c r="AG62" s="11"/>
      <c r="AH62" s="11"/>
      <c r="AI62" s="11"/>
      <c r="AJ62" s="2"/>
    </row>
    <row r="63" spans="1:36" ht="14.4" customHeight="1" x14ac:dyDescent="0.25">
      <c r="A63" s="9">
        <f ca="1">IFERROR(__xludf.DUMMYFUNCTION("""COMPUTED_VALUE"""),62)</f>
        <v>62</v>
      </c>
      <c r="B63" s="9"/>
      <c r="C63" s="9"/>
      <c r="D63" s="9" t="str">
        <f ca="1">IFERROR(__xludf.DUMMYFUNCTION("""COMPUTED_VALUE"""),"16/08/2024")</f>
        <v>16/08/2024</v>
      </c>
      <c r="E63" s="23" t="s">
        <v>0</v>
      </c>
      <c r="F63" s="9" t="str">
        <f ca="1">IFERROR(__xludf.DUMMYFUNCTION("""COMPUTED_VALUE"""),"Raicevic, Dragoljub")</f>
        <v>Raicevic, Dragoljub</v>
      </c>
      <c r="G63" s="9" t="str">
        <f ca="1">IFERROR(__xludf.DUMMYFUNCTION("""COMPUTED_VALUE"""),"SRB")</f>
        <v>SRB</v>
      </c>
      <c r="H63" s="9"/>
      <c r="I63" s="9"/>
      <c r="J63" s="9">
        <f ca="1">IFERROR(__xludf.DUMMYFUNCTION("""COMPUTED_VALUE"""),100)</f>
        <v>100</v>
      </c>
      <c r="K63" s="9"/>
      <c r="L63" s="9"/>
      <c r="M63" s="9" t="str">
        <f ca="1">IFERROR(__xludf.DUMMYFUNCTION("""COMPUTED_VALUE"""),"Crvena zvezda")</f>
        <v>Crvena zvezda</v>
      </c>
      <c r="N63" s="9" t="str">
        <f ca="1">IFERROR(__xludf.DUMMYFUNCTION("""COMPUTED_VALUE"""),"SRB")</f>
        <v>SRB</v>
      </c>
      <c r="O63" s="9" t="str">
        <f ca="1">IFERROR(__xludf.DUMMYFUNCTION("""COMPUTED_VALUE"""),"Kralj")</f>
        <v>Kralj</v>
      </c>
      <c r="P63" s="9" t="str">
        <f ca="1">IFERROR(__xludf.DUMMYFUNCTION("""COMPUTED_VALUE"""),"Single")</f>
        <v>Single</v>
      </c>
      <c r="Q63" s="9"/>
      <c r="R63" s="9"/>
      <c r="S63" s="9" t="str">
        <f ca="1">IFERROR(__xludf.DUMMYFUNCTION("""COMPUTED_VALUE"""),"19/10/2024")</f>
        <v>19/10/2024</v>
      </c>
      <c r="T63" s="9" t="str">
        <f ca="1">IFERROR(__xludf.DUMMYFUNCTION("""COMPUTED_VALUE"""),"27/10/2024")</f>
        <v>27/10/2024</v>
      </c>
      <c r="U63" s="9">
        <f ca="1">IFERROR(__xludf.DUMMYFUNCTION("""COMPUTED_VALUE"""),8)</f>
        <v>8</v>
      </c>
      <c r="V63" s="9">
        <f ca="1">IFERROR(__xludf.DUMMYFUNCTION("""COMPUTED_VALUE"""),0)</f>
        <v>0</v>
      </c>
      <c r="W63" s="9">
        <f ca="1">IFERROR(__xludf.DUMMYFUNCTION("""COMPUTED_VALUE"""),12.8)</f>
        <v>12.8</v>
      </c>
      <c r="X63" s="9">
        <f ca="1">IFERROR(__xludf.DUMMYFUNCTION("""COMPUTED_VALUE"""),12.8)</f>
        <v>12.8</v>
      </c>
      <c r="Y63" s="9"/>
      <c r="Z63" s="9"/>
      <c r="AA63" s="9"/>
      <c r="AB63" s="9" t="str">
        <f ca="1">IFERROR(__xludf.DUMMYFUNCTION("""COMPUTED_VALUE"""),"nov hotel")</f>
        <v>nov hotel</v>
      </c>
      <c r="AC63" s="9"/>
      <c r="AD63" s="20"/>
      <c r="AE63" s="10"/>
      <c r="AF63" s="11"/>
      <c r="AG63" s="11"/>
      <c r="AH63" s="11"/>
      <c r="AI63" s="11"/>
      <c r="AJ63" s="2"/>
    </row>
    <row r="64" spans="1:36" ht="14.4" customHeight="1" x14ac:dyDescent="0.25">
      <c r="A64" s="9">
        <f ca="1">IFERROR(__xludf.DUMMYFUNCTION("""COMPUTED_VALUE"""),63)</f>
        <v>63</v>
      </c>
      <c r="B64" s="9"/>
      <c r="C64" s="9"/>
      <c r="D64" s="9" t="str">
        <f ca="1">IFERROR(__xludf.DUMMYFUNCTION("""COMPUTED_VALUE"""),"21/08/2024")</f>
        <v>21/08/2024</v>
      </c>
      <c r="E64" s="23" t="str">
        <f ca="1">IFERROR(__xludf.DUMMYFUNCTION("""COMPUTED_VALUE"""),"Player")</f>
        <v>Player</v>
      </c>
      <c r="F64" s="9" t="str">
        <f ca="1">IFERROR(__xludf.DUMMYFUNCTION("""COMPUTED_VALUE"""),"Savitha Shri B")</f>
        <v>Savitha Shri B</v>
      </c>
      <c r="G64" s="9" t="str">
        <f ca="1">IFERROR(__xludf.DUMMYFUNCTION("""COMPUTED_VALUE"""),"IND")</f>
        <v>IND</v>
      </c>
      <c r="H64" s="9" t="str">
        <f ca="1">IFERROR(__xludf.DUMMYFUNCTION("""COMPUTED_VALUE"""),"WGM")</f>
        <v>WGM</v>
      </c>
      <c r="I64" s="9"/>
      <c r="J64" s="9">
        <f ca="1">IFERROR(__xludf.DUMMYFUNCTION("""COMPUTED_VALUE"""),100)</f>
        <v>100</v>
      </c>
      <c r="K64" s="9"/>
      <c r="L64" s="9"/>
      <c r="M64" s="9" t="str">
        <f ca="1">IFERROR(__xludf.DUMMYFUNCTION("""COMPUTED_VALUE"""),"Rudar Kostolac")</f>
        <v>Rudar Kostolac</v>
      </c>
      <c r="N64" s="9" t="str">
        <f ca="1">IFERROR(__xludf.DUMMYFUNCTION("""COMPUTED_VALUE"""),"SRB")</f>
        <v>SRB</v>
      </c>
      <c r="O64" s="9" t="str">
        <f ca="1">IFERROR(__xludf.DUMMYFUNCTION("""COMPUTED_VALUE"""),"Kralj")</f>
        <v>Kralj</v>
      </c>
      <c r="P64" s="9" t="str">
        <f ca="1">IFERROR(__xludf.DUMMYFUNCTION("""COMPUTED_VALUE"""),"Double")</f>
        <v>Double</v>
      </c>
      <c r="Q64" s="9"/>
      <c r="R64" s="9"/>
      <c r="S64" s="9" t="str">
        <f ca="1">IFERROR(__xludf.DUMMYFUNCTION("""COMPUTED_VALUE"""),"19/10/2024")</f>
        <v>19/10/2024</v>
      </c>
      <c r="T64" s="9" t="str">
        <f ca="1">IFERROR(__xludf.DUMMYFUNCTION("""COMPUTED_VALUE"""),"26/10/2024")</f>
        <v>26/10/2024</v>
      </c>
      <c r="U64" s="9">
        <f ca="1">IFERROR(__xludf.DUMMYFUNCTION("""COMPUTED_VALUE"""),7)</f>
        <v>7</v>
      </c>
      <c r="V64" s="9">
        <f ca="1">IFERROR(__xludf.DUMMYFUNCTION("""COMPUTED_VALUE"""),0)</f>
        <v>0</v>
      </c>
      <c r="W64" s="9">
        <f ca="1">IFERROR(__xludf.DUMMYFUNCTION("""COMPUTED_VALUE"""),11.2)</f>
        <v>11.2</v>
      </c>
      <c r="X64" s="9">
        <f ca="1">IFERROR(__xludf.DUMMYFUNCTION("""COMPUTED_VALUE"""),11.2)</f>
        <v>11.2</v>
      </c>
      <c r="Y64" s="9"/>
      <c r="Z64" s="9"/>
      <c r="AA64" s="9"/>
      <c r="AB64" s="9"/>
      <c r="AC64" s="9"/>
      <c r="AD64" s="20" t="str">
        <f ca="1">IFERROR(__xludf.DUMMYFUNCTION("""COMPUTED_VALUE"""),"YES")</f>
        <v>YES</v>
      </c>
      <c r="AE64" s="10"/>
      <c r="AF64" s="11"/>
      <c r="AG64" s="11"/>
      <c r="AH64" s="11"/>
      <c r="AI64" s="11"/>
      <c r="AJ64" s="2"/>
    </row>
    <row r="65" spans="1:36" ht="14.4" customHeight="1" x14ac:dyDescent="0.25">
      <c r="A65" s="9">
        <f ca="1">IFERROR(__xludf.DUMMYFUNCTION("""COMPUTED_VALUE"""),64)</f>
        <v>64</v>
      </c>
      <c r="B65" s="9"/>
      <c r="C65" s="9"/>
      <c r="D65" s="9" t="str">
        <f ca="1">IFERROR(__xludf.DUMMYFUNCTION("""COMPUTED_VALUE"""),"21/08/2024")</f>
        <v>21/08/2024</v>
      </c>
      <c r="E65" s="23" t="str">
        <f ca="1">IFERROR(__xludf.DUMMYFUNCTION("""COMPUTED_VALUE"""),"Player")</f>
        <v>Player</v>
      </c>
      <c r="F65" s="9" t="str">
        <f ca="1">IFERROR(__xludf.DUMMYFUNCTION("""COMPUTED_VALUE"""),"Toncheva, Nadya")</f>
        <v>Toncheva, Nadya</v>
      </c>
      <c r="G65" s="9" t="str">
        <f ca="1">IFERROR(__xludf.DUMMYFUNCTION("""COMPUTED_VALUE"""),"BUL")</f>
        <v>BUL</v>
      </c>
      <c r="H65" s="9" t="str">
        <f ca="1">IFERROR(__xludf.DUMMYFUNCTION("""COMPUTED_VALUE"""),"WGM")</f>
        <v>WGM</v>
      </c>
      <c r="I65" s="9"/>
      <c r="J65" s="9">
        <f ca="1">IFERROR(__xludf.DUMMYFUNCTION("""COMPUTED_VALUE"""),100)</f>
        <v>100</v>
      </c>
      <c r="K65" s="9"/>
      <c r="L65" s="9"/>
      <c r="M65" s="9" t="str">
        <f ca="1">IFERROR(__xludf.DUMMYFUNCTION("""COMPUTED_VALUE"""),"Rudar Kostolac")</f>
        <v>Rudar Kostolac</v>
      </c>
      <c r="N65" s="9" t="str">
        <f ca="1">IFERROR(__xludf.DUMMYFUNCTION("""COMPUTED_VALUE"""),"SRB")</f>
        <v>SRB</v>
      </c>
      <c r="O65" s="9" t="str">
        <f ca="1">IFERROR(__xludf.DUMMYFUNCTION("""COMPUTED_VALUE"""),"Kralj")</f>
        <v>Kralj</v>
      </c>
      <c r="P65" s="9" t="str">
        <f ca="1">IFERROR(__xludf.DUMMYFUNCTION("""COMPUTED_VALUE"""),"Double")</f>
        <v>Double</v>
      </c>
      <c r="Q65" s="9"/>
      <c r="R65" s="9"/>
      <c r="S65" s="9" t="str">
        <f ca="1">IFERROR(__xludf.DUMMYFUNCTION("""COMPUTED_VALUE"""),"20/10/2024")</f>
        <v>20/10/2024</v>
      </c>
      <c r="T65" s="9" t="str">
        <f ca="1">IFERROR(__xludf.DUMMYFUNCTION("""COMPUTED_VALUE"""),"26/10/2024")</f>
        <v>26/10/2024</v>
      </c>
      <c r="U65" s="9">
        <f ca="1">IFERROR(__xludf.DUMMYFUNCTION("""COMPUTED_VALUE"""),6)</f>
        <v>6</v>
      </c>
      <c r="V65" s="9">
        <f ca="1">IFERROR(__xludf.DUMMYFUNCTION("""COMPUTED_VALUE"""),0)</f>
        <v>0</v>
      </c>
      <c r="W65" s="9">
        <f ca="1">IFERROR(__xludf.DUMMYFUNCTION("""COMPUTED_VALUE"""),9.6)</f>
        <v>9.6</v>
      </c>
      <c r="X65" s="9">
        <f ca="1">IFERROR(__xludf.DUMMYFUNCTION("""COMPUTED_VALUE"""),9.6)</f>
        <v>9.6</v>
      </c>
      <c r="Y65" s="9"/>
      <c r="Z65" s="9"/>
      <c r="AA65" s="9"/>
      <c r="AB65" s="9"/>
      <c r="AC65" s="9"/>
      <c r="AD65" s="20"/>
      <c r="AE65" s="10"/>
      <c r="AF65" s="11"/>
      <c r="AG65" s="11"/>
      <c r="AH65" s="11"/>
      <c r="AI65" s="11"/>
      <c r="AJ65" s="2"/>
    </row>
    <row r="66" spans="1:36" ht="14.4" customHeight="1" x14ac:dyDescent="0.25">
      <c r="A66" s="9">
        <f ca="1">IFERROR(__xludf.DUMMYFUNCTION("""COMPUTED_VALUE"""),65)</f>
        <v>65</v>
      </c>
      <c r="B66" s="9"/>
      <c r="C66" s="9"/>
      <c r="D66" s="9" t="str">
        <f ca="1">IFERROR(__xludf.DUMMYFUNCTION("""COMPUTED_VALUE"""),"21/08/2024")</f>
        <v>21/08/2024</v>
      </c>
      <c r="E66" s="23" t="str">
        <f ca="1">IFERROR(__xludf.DUMMYFUNCTION("""COMPUTED_VALUE"""),"Player")</f>
        <v>Player</v>
      </c>
      <c r="F66" s="9" t="str">
        <f ca="1">IFERROR(__xludf.DUMMYFUNCTION("""COMPUTED_VALUE"""),"Mihajlovic, Milena")</f>
        <v>Mihajlovic, Milena</v>
      </c>
      <c r="G66" s="9" t="str">
        <f ca="1">IFERROR(__xludf.DUMMYFUNCTION("""COMPUTED_VALUE"""),"SRB")</f>
        <v>SRB</v>
      </c>
      <c r="H66" s="9" t="str">
        <f ca="1">IFERROR(__xludf.DUMMYFUNCTION("""COMPUTED_VALUE"""),"WFM")</f>
        <v>WFM</v>
      </c>
      <c r="I66" s="9"/>
      <c r="J66" s="9">
        <f ca="1">IFERROR(__xludf.DUMMYFUNCTION("""COMPUTED_VALUE"""),100)</f>
        <v>100</v>
      </c>
      <c r="K66" s="9"/>
      <c r="L66" s="9"/>
      <c r="M66" s="9" t="str">
        <f ca="1">IFERROR(__xludf.DUMMYFUNCTION("""COMPUTED_VALUE"""),"Rudar Kostolac")</f>
        <v>Rudar Kostolac</v>
      </c>
      <c r="N66" s="9" t="str">
        <f ca="1">IFERROR(__xludf.DUMMYFUNCTION("""COMPUTED_VALUE"""),"SRB")</f>
        <v>SRB</v>
      </c>
      <c r="O66" s="9" t="str">
        <f ca="1">IFERROR(__xludf.DUMMYFUNCTION("""COMPUTED_VALUE"""),"Kralj")</f>
        <v>Kralj</v>
      </c>
      <c r="P66" s="9" t="str">
        <f ca="1">IFERROR(__xludf.DUMMYFUNCTION("""COMPUTED_VALUE"""),"Double")</f>
        <v>Double</v>
      </c>
      <c r="Q66" s="9"/>
      <c r="R66" s="9"/>
      <c r="S66" s="9" t="str">
        <f ca="1">IFERROR(__xludf.DUMMYFUNCTION("""COMPUTED_VALUE"""),"20/10/2024")</f>
        <v>20/10/2024</v>
      </c>
      <c r="T66" s="9" t="str">
        <f ca="1">IFERROR(__xludf.DUMMYFUNCTION("""COMPUTED_VALUE"""),"26/10/2024")</f>
        <v>26/10/2024</v>
      </c>
      <c r="U66" s="9">
        <f ca="1">IFERROR(__xludf.DUMMYFUNCTION("""COMPUTED_VALUE"""),6)</f>
        <v>6</v>
      </c>
      <c r="V66" s="9">
        <f ca="1">IFERROR(__xludf.DUMMYFUNCTION("""COMPUTED_VALUE"""),0)</f>
        <v>0</v>
      </c>
      <c r="W66" s="9">
        <f ca="1">IFERROR(__xludf.DUMMYFUNCTION("""COMPUTED_VALUE"""),9.6)</f>
        <v>9.6</v>
      </c>
      <c r="X66" s="9">
        <f ca="1">IFERROR(__xludf.DUMMYFUNCTION("""COMPUTED_VALUE"""),9.6)</f>
        <v>9.6</v>
      </c>
      <c r="Y66" s="9"/>
      <c r="Z66" s="9"/>
      <c r="AA66" s="9"/>
      <c r="AB66" s="9"/>
      <c r="AC66" s="9"/>
      <c r="AD66" s="20"/>
      <c r="AE66" s="10"/>
      <c r="AF66" s="11"/>
      <c r="AG66" s="11"/>
      <c r="AH66" s="11"/>
      <c r="AI66" s="11"/>
      <c r="AJ66" s="2"/>
    </row>
    <row r="67" spans="1:36" ht="14.4" customHeight="1" x14ac:dyDescent="0.25">
      <c r="A67" s="9">
        <f ca="1">IFERROR(__xludf.DUMMYFUNCTION("""COMPUTED_VALUE"""),66)</f>
        <v>66</v>
      </c>
      <c r="B67" s="9"/>
      <c r="C67" s="9"/>
      <c r="D67" s="9" t="str">
        <f ca="1">IFERROR(__xludf.DUMMYFUNCTION("""COMPUTED_VALUE"""),"21/08/2024")</f>
        <v>21/08/2024</v>
      </c>
      <c r="E67" s="23" t="str">
        <f ca="1">IFERROR(__xludf.DUMMYFUNCTION("""COMPUTED_VALUE"""),"Player")</f>
        <v>Player</v>
      </c>
      <c r="F67" s="9" t="str">
        <f ca="1">IFERROR(__xludf.DUMMYFUNCTION("""COMPUTED_VALUE"""),"Grozdanovic, Anastasia")</f>
        <v>Grozdanovic, Anastasia</v>
      </c>
      <c r="G67" s="9" t="str">
        <f ca="1">IFERROR(__xludf.DUMMYFUNCTION("""COMPUTED_VALUE"""),"SRB")</f>
        <v>SRB</v>
      </c>
      <c r="H67" s="9" t="str">
        <f ca="1">IFERROR(__xludf.DUMMYFUNCTION("""COMPUTED_VALUE"""),"WFM")</f>
        <v>WFM</v>
      </c>
      <c r="I67" s="9"/>
      <c r="J67" s="9">
        <f ca="1">IFERROR(__xludf.DUMMYFUNCTION("""COMPUTED_VALUE"""),100)</f>
        <v>100</v>
      </c>
      <c r="K67" s="9"/>
      <c r="L67" s="9"/>
      <c r="M67" s="9" t="str">
        <f ca="1">IFERROR(__xludf.DUMMYFUNCTION("""COMPUTED_VALUE"""),"Rudar Kostolac")</f>
        <v>Rudar Kostolac</v>
      </c>
      <c r="N67" s="9" t="str">
        <f ca="1">IFERROR(__xludf.DUMMYFUNCTION("""COMPUTED_VALUE"""),"SRB")</f>
        <v>SRB</v>
      </c>
      <c r="O67" s="9" t="str">
        <f ca="1">IFERROR(__xludf.DUMMYFUNCTION("""COMPUTED_VALUE"""),"Kralj")</f>
        <v>Kralj</v>
      </c>
      <c r="P67" s="9" t="str">
        <f ca="1">IFERROR(__xludf.DUMMYFUNCTION("""COMPUTED_VALUE"""),"Double")</f>
        <v>Double</v>
      </c>
      <c r="Q67" s="9"/>
      <c r="R67" s="9"/>
      <c r="S67" s="9" t="str">
        <f ca="1">IFERROR(__xludf.DUMMYFUNCTION("""COMPUTED_VALUE"""),"20/10/2024")</f>
        <v>20/10/2024</v>
      </c>
      <c r="T67" s="9" t="str">
        <f ca="1">IFERROR(__xludf.DUMMYFUNCTION("""COMPUTED_VALUE"""),"26/10/2024")</f>
        <v>26/10/2024</v>
      </c>
      <c r="U67" s="9">
        <f ca="1">IFERROR(__xludf.DUMMYFUNCTION("""COMPUTED_VALUE"""),6)</f>
        <v>6</v>
      </c>
      <c r="V67" s="9">
        <f ca="1">IFERROR(__xludf.DUMMYFUNCTION("""COMPUTED_VALUE"""),0)</f>
        <v>0</v>
      </c>
      <c r="W67" s="9">
        <f ca="1">IFERROR(__xludf.DUMMYFUNCTION("""COMPUTED_VALUE"""),9.6)</f>
        <v>9.6</v>
      </c>
      <c r="X67" s="9">
        <f ca="1">IFERROR(__xludf.DUMMYFUNCTION("""COMPUTED_VALUE"""),9.6)</f>
        <v>9.6</v>
      </c>
      <c r="Y67" s="9"/>
      <c r="Z67" s="9"/>
      <c r="AA67" s="9"/>
      <c r="AB67" s="9"/>
      <c r="AC67" s="9"/>
      <c r="AD67" s="20"/>
      <c r="AE67" s="10"/>
      <c r="AF67" s="11"/>
      <c r="AG67" s="11"/>
      <c r="AH67" s="11"/>
      <c r="AI67" s="11"/>
      <c r="AJ67" s="2"/>
    </row>
    <row r="68" spans="1:36" ht="14.4" customHeight="1" x14ac:dyDescent="0.25">
      <c r="A68" s="9">
        <f ca="1">IFERROR(__xludf.DUMMYFUNCTION("""COMPUTED_VALUE"""),67)</f>
        <v>67</v>
      </c>
      <c r="B68" s="9"/>
      <c r="C68" s="9"/>
      <c r="D68" s="9" t="str">
        <f ca="1">IFERROR(__xludf.DUMMYFUNCTION("""COMPUTED_VALUE"""),"21/08/2024")</f>
        <v>21/08/2024</v>
      </c>
      <c r="E68" s="23" t="str">
        <f ca="1">IFERROR(__xludf.DUMMYFUNCTION("""COMPUTED_VALUE"""),"Player")</f>
        <v>Player</v>
      </c>
      <c r="F68" s="9" t="str">
        <f ca="1">IFERROR(__xludf.DUMMYFUNCTION("""COMPUTED_VALUE"""),"Dimitrijevic, Andjela")</f>
        <v>Dimitrijevic, Andjela</v>
      </c>
      <c r="G68" s="9" t="str">
        <f ca="1">IFERROR(__xludf.DUMMYFUNCTION("""COMPUTED_VALUE"""),"SRB")</f>
        <v>SRB</v>
      </c>
      <c r="H68" s="9" t="str">
        <f ca="1">IFERROR(__xludf.DUMMYFUNCTION("""COMPUTED_VALUE"""),"WCM")</f>
        <v>WCM</v>
      </c>
      <c r="I68" s="9"/>
      <c r="J68" s="9">
        <f ca="1">IFERROR(__xludf.DUMMYFUNCTION("""COMPUTED_VALUE"""),100)</f>
        <v>100</v>
      </c>
      <c r="K68" s="9"/>
      <c r="L68" s="9"/>
      <c r="M68" s="9" t="str">
        <f ca="1">IFERROR(__xludf.DUMMYFUNCTION("""COMPUTED_VALUE"""),"Rudar Kostolac")</f>
        <v>Rudar Kostolac</v>
      </c>
      <c r="N68" s="9" t="str">
        <f ca="1">IFERROR(__xludf.DUMMYFUNCTION("""COMPUTED_VALUE"""),"SRB")</f>
        <v>SRB</v>
      </c>
      <c r="O68" s="9" t="str">
        <f ca="1">IFERROR(__xludf.DUMMYFUNCTION("""COMPUTED_VALUE"""),"Kralj")</f>
        <v>Kralj</v>
      </c>
      <c r="P68" s="9" t="str">
        <f ca="1">IFERROR(__xludf.DUMMYFUNCTION("""COMPUTED_VALUE"""),"Double")</f>
        <v>Double</v>
      </c>
      <c r="Q68" s="9"/>
      <c r="R68" s="9"/>
      <c r="S68" s="9" t="str">
        <f ca="1">IFERROR(__xludf.DUMMYFUNCTION("""COMPUTED_VALUE"""),"20/10/2024")</f>
        <v>20/10/2024</v>
      </c>
      <c r="T68" s="9" t="str">
        <f ca="1">IFERROR(__xludf.DUMMYFUNCTION("""COMPUTED_VALUE"""),"26/10/2024")</f>
        <v>26/10/2024</v>
      </c>
      <c r="U68" s="9">
        <f ca="1">IFERROR(__xludf.DUMMYFUNCTION("""COMPUTED_VALUE"""),6)</f>
        <v>6</v>
      </c>
      <c r="V68" s="9">
        <f ca="1">IFERROR(__xludf.DUMMYFUNCTION("""COMPUTED_VALUE"""),0)</f>
        <v>0</v>
      </c>
      <c r="W68" s="9">
        <f ca="1">IFERROR(__xludf.DUMMYFUNCTION("""COMPUTED_VALUE"""),9.6)</f>
        <v>9.6</v>
      </c>
      <c r="X68" s="9">
        <f ca="1">IFERROR(__xludf.DUMMYFUNCTION("""COMPUTED_VALUE"""),9.6)</f>
        <v>9.6</v>
      </c>
      <c r="Y68" s="9"/>
      <c r="Z68" s="9"/>
      <c r="AA68" s="9"/>
      <c r="AB68" s="9"/>
      <c r="AC68" s="9"/>
      <c r="AD68" s="20"/>
      <c r="AE68" s="10"/>
      <c r="AF68" s="11"/>
      <c r="AG68" s="11"/>
      <c r="AH68" s="11"/>
      <c r="AI68" s="11"/>
      <c r="AJ68" s="2"/>
    </row>
    <row r="69" spans="1:36" ht="14.4" customHeight="1" x14ac:dyDescent="0.25">
      <c r="A69" s="9">
        <f ca="1">IFERROR(__xludf.DUMMYFUNCTION("""COMPUTED_VALUE"""),68)</f>
        <v>68</v>
      </c>
      <c r="B69" s="9"/>
      <c r="C69" s="9"/>
      <c r="D69" s="9" t="str">
        <f ca="1">IFERROR(__xludf.DUMMYFUNCTION("""COMPUTED_VALUE"""),"21/08/2024")</f>
        <v>21/08/2024</v>
      </c>
      <c r="E69" s="23" t="s">
        <v>0</v>
      </c>
      <c r="F69" s="9" t="str">
        <f ca="1">IFERROR(__xludf.DUMMYFUNCTION("""COMPUTED_VALUE"""),"Krishnan, Baskar")</f>
        <v>Krishnan, Baskar</v>
      </c>
      <c r="G69" s="9" t="str">
        <f ca="1">IFERROR(__xludf.DUMMYFUNCTION("""COMPUTED_VALUE"""),"IND")</f>
        <v>IND</v>
      </c>
      <c r="H69" s="9"/>
      <c r="I69" s="9"/>
      <c r="J69" s="9">
        <f ca="1">IFERROR(__xludf.DUMMYFUNCTION("""COMPUTED_VALUE"""),100)</f>
        <v>100</v>
      </c>
      <c r="K69" s="9"/>
      <c r="L69" s="9"/>
      <c r="M69" s="9" t="str">
        <f ca="1">IFERROR(__xludf.DUMMYFUNCTION("""COMPUTED_VALUE"""),"Rudar Kostolac")</f>
        <v>Rudar Kostolac</v>
      </c>
      <c r="N69" s="9" t="str">
        <f ca="1">IFERROR(__xludf.DUMMYFUNCTION("""COMPUTED_VALUE"""),"SRB")</f>
        <v>SRB</v>
      </c>
      <c r="O69" s="9" t="str">
        <f ca="1">IFERROR(__xludf.DUMMYFUNCTION("""COMPUTED_VALUE"""),"Kralj")</f>
        <v>Kralj</v>
      </c>
      <c r="P69" s="9" t="str">
        <f ca="1">IFERROR(__xludf.DUMMYFUNCTION("""COMPUTED_VALUE"""),"Double")</f>
        <v>Double</v>
      </c>
      <c r="Q69" s="9"/>
      <c r="R69" s="9"/>
      <c r="S69" s="9" t="str">
        <f ca="1">IFERROR(__xludf.DUMMYFUNCTION("""COMPUTED_VALUE"""),"19/10/2024")</f>
        <v>19/10/2024</v>
      </c>
      <c r="T69" s="9" t="str">
        <f ca="1">IFERROR(__xludf.DUMMYFUNCTION("""COMPUTED_VALUE"""),"27/10/2024")</f>
        <v>27/10/2024</v>
      </c>
      <c r="U69" s="9">
        <f ca="1">IFERROR(__xludf.DUMMYFUNCTION("""COMPUTED_VALUE"""),8)</f>
        <v>8</v>
      </c>
      <c r="V69" s="9">
        <f ca="1">IFERROR(__xludf.DUMMYFUNCTION("""COMPUTED_VALUE"""),0)</f>
        <v>0</v>
      </c>
      <c r="W69" s="9">
        <f ca="1">IFERROR(__xludf.DUMMYFUNCTION("""COMPUTED_VALUE"""),12.8)</f>
        <v>12.8</v>
      </c>
      <c r="X69" s="9">
        <f ca="1">IFERROR(__xludf.DUMMYFUNCTION("""COMPUTED_VALUE"""),12.8)</f>
        <v>12.8</v>
      </c>
      <c r="Y69" s="9"/>
      <c r="Z69" s="9"/>
      <c r="AA69" s="9"/>
      <c r="AB69" s="9"/>
      <c r="AC69" s="9"/>
      <c r="AD69" s="20" t="str">
        <f ca="1">IFERROR(__xludf.DUMMYFUNCTION("""COMPUTED_VALUE"""),"YES")</f>
        <v>YES</v>
      </c>
      <c r="AE69" s="10"/>
      <c r="AF69" s="11"/>
      <c r="AG69" s="11"/>
      <c r="AH69" s="11"/>
      <c r="AI69" s="11"/>
      <c r="AJ69" s="2"/>
    </row>
    <row r="70" spans="1:36" ht="14.4" customHeight="1" x14ac:dyDescent="0.25">
      <c r="A70" s="9">
        <f ca="1">IFERROR(__xludf.DUMMYFUNCTION("""COMPUTED_VALUE"""),69)</f>
        <v>69</v>
      </c>
      <c r="B70" s="9"/>
      <c r="C70" s="9"/>
      <c r="D70" s="9" t="str">
        <f ca="1">IFERROR(__xludf.DUMMYFUNCTION("""COMPUTED_VALUE"""),"21/08/2024")</f>
        <v>21/08/2024</v>
      </c>
      <c r="E70" s="23" t="s">
        <v>0</v>
      </c>
      <c r="F70" s="9" t="str">
        <f ca="1">IFERROR(__xludf.DUMMYFUNCTION("""COMPUTED_VALUE"""),"Maksimovic, Boban")</f>
        <v>Maksimovic, Boban</v>
      </c>
      <c r="G70" s="9" t="str">
        <f ca="1">IFERROR(__xludf.DUMMYFUNCTION("""COMPUTED_VALUE"""),"SRB")</f>
        <v>SRB</v>
      </c>
      <c r="H70" s="9"/>
      <c r="I70" s="9"/>
      <c r="J70" s="9">
        <f ca="1">IFERROR(__xludf.DUMMYFUNCTION("""COMPUTED_VALUE"""),100)</f>
        <v>100</v>
      </c>
      <c r="K70" s="9"/>
      <c r="L70" s="9"/>
      <c r="M70" s="9" t="str">
        <f ca="1">IFERROR(__xludf.DUMMYFUNCTION("""COMPUTED_VALUE"""),"Rudar Kostolac")</f>
        <v>Rudar Kostolac</v>
      </c>
      <c r="N70" s="9" t="str">
        <f ca="1">IFERROR(__xludf.DUMMYFUNCTION("""COMPUTED_VALUE"""),"SRB")</f>
        <v>SRB</v>
      </c>
      <c r="O70" s="9" t="str">
        <f ca="1">IFERROR(__xludf.DUMMYFUNCTION("""COMPUTED_VALUE"""),"Kralj")</f>
        <v>Kralj</v>
      </c>
      <c r="P70" s="9" t="str">
        <f ca="1">IFERROR(__xludf.DUMMYFUNCTION("""COMPUTED_VALUE"""),"Single")</f>
        <v>Single</v>
      </c>
      <c r="Q70" s="9"/>
      <c r="R70" s="9"/>
      <c r="S70" s="9" t="str">
        <f ca="1">IFERROR(__xludf.DUMMYFUNCTION("""COMPUTED_VALUE"""),"20/10/2024")</f>
        <v>20/10/2024</v>
      </c>
      <c r="T70" s="9" t="str">
        <f ca="1">IFERROR(__xludf.DUMMYFUNCTION("""COMPUTED_VALUE"""),"26/10/2024")</f>
        <v>26/10/2024</v>
      </c>
      <c r="U70" s="9">
        <f ca="1">IFERROR(__xludf.DUMMYFUNCTION("""COMPUTED_VALUE"""),6)</f>
        <v>6</v>
      </c>
      <c r="V70" s="9">
        <f ca="1">IFERROR(__xludf.DUMMYFUNCTION("""COMPUTED_VALUE"""),0)</f>
        <v>0</v>
      </c>
      <c r="W70" s="9">
        <f ca="1">IFERROR(__xludf.DUMMYFUNCTION("""COMPUTED_VALUE"""),9.6)</f>
        <v>9.6</v>
      </c>
      <c r="X70" s="9">
        <f ca="1">IFERROR(__xludf.DUMMYFUNCTION("""COMPUTED_VALUE"""),9.6)</f>
        <v>9.6</v>
      </c>
      <c r="Y70" s="9"/>
      <c r="Z70" s="9"/>
      <c r="AA70" s="9"/>
      <c r="AB70" s="9"/>
      <c r="AC70" s="9"/>
      <c r="AD70" s="20"/>
      <c r="AE70" s="10"/>
      <c r="AF70" s="11"/>
      <c r="AG70" s="11"/>
      <c r="AH70" s="11"/>
      <c r="AI70" s="11"/>
      <c r="AJ70" s="2"/>
    </row>
    <row r="71" spans="1:36" ht="14.4" customHeight="1" x14ac:dyDescent="0.25">
      <c r="A71" s="9">
        <f ca="1">IFERROR(__xludf.DUMMYFUNCTION("""COMPUTED_VALUE"""),70)</f>
        <v>70</v>
      </c>
      <c r="B71" s="9"/>
      <c r="C71" s="9"/>
      <c r="D71" s="9" t="str">
        <f ca="1">IFERROR(__xludf.DUMMYFUNCTION("""COMPUTED_VALUE"""),"22/08/2024")</f>
        <v>22/08/2024</v>
      </c>
      <c r="E71" s="23" t="str">
        <f ca="1">IFERROR(__xludf.DUMMYFUNCTION("""COMPUTED_VALUE"""),"Player")</f>
        <v>Player</v>
      </c>
      <c r="F71" s="9" t="s">
        <v>28</v>
      </c>
      <c r="G71" s="9"/>
      <c r="H71" s="9"/>
      <c r="I71" s="9"/>
      <c r="J71" s="9">
        <f ca="1">IFERROR(__xludf.DUMMYFUNCTION("""COMPUTED_VALUE"""),100)</f>
        <v>100</v>
      </c>
      <c r="K71" s="9"/>
      <c r="L71" s="9"/>
      <c r="M71" s="9" t="s">
        <v>4</v>
      </c>
      <c r="N71" s="9" t="str">
        <f ca="1">IFERROR(__xludf.DUMMYFUNCTION("""COMPUTED_VALUE"""),"GER")</f>
        <v>GER</v>
      </c>
      <c r="O71" s="9" t="str">
        <f ca="1">IFERROR(__xludf.DUMMYFUNCTION("""COMPUTED_VALUE"""),"Tonanti")</f>
        <v>Tonanti</v>
      </c>
      <c r="P71" s="9" t="str">
        <f ca="1">IFERROR(__xludf.DUMMYFUNCTION("""COMPUTED_VALUE"""),"Double")</f>
        <v>Double</v>
      </c>
      <c r="Q71" s="9" t="str">
        <f ca="1">IFERROR(__xludf.DUMMYFUNCTION("""COMPUTED_VALUE"""),"Sereda")</f>
        <v>Sereda</v>
      </c>
      <c r="R71" s="9"/>
      <c r="S71" s="9" t="str">
        <f ca="1">IFERROR(__xludf.DUMMYFUNCTION("""COMPUTED_VALUE"""),"19/10/2024")</f>
        <v>19/10/2024</v>
      </c>
      <c r="T71" s="9" t="str">
        <f ca="1">IFERROR(__xludf.DUMMYFUNCTION("""COMPUTED_VALUE"""),"27/10/2024")</f>
        <v>27/10/2024</v>
      </c>
      <c r="U71" s="9">
        <f ca="1">IFERROR(__xludf.DUMMYFUNCTION("""COMPUTED_VALUE"""),8)</f>
        <v>8</v>
      </c>
      <c r="V71" s="9">
        <f ca="1">IFERROR(__xludf.DUMMYFUNCTION("""COMPUTED_VALUE"""),0)</f>
        <v>0</v>
      </c>
      <c r="W71" s="9">
        <f ca="1">IFERROR(__xludf.DUMMYFUNCTION("""COMPUTED_VALUE"""),12.8)</f>
        <v>12.8</v>
      </c>
      <c r="X71" s="9">
        <f ca="1">IFERROR(__xludf.DUMMYFUNCTION("""COMPUTED_VALUE"""),12.8)</f>
        <v>12.8</v>
      </c>
      <c r="Y71" s="9"/>
      <c r="Z71" s="9"/>
      <c r="AA71" s="9"/>
      <c r="AB71" s="9"/>
      <c r="AC71" s="9"/>
      <c r="AD71" s="20" t="str">
        <f ca="1">IFERROR(__xludf.DUMMYFUNCTION("""COMPUTED_VALUE"""),"YES")</f>
        <v>YES</v>
      </c>
      <c r="AE71" s="10" t="str">
        <f ca="1">IFERROR(__xludf.DUMMYFUNCTION("""COMPUTED_VALUE"""),"Beograd")</f>
        <v>Beograd</v>
      </c>
      <c r="AF71" s="11" t="str">
        <f ca="1">IFERROR(__xludf.DUMMYFUNCTION("""COMPUTED_VALUE"""),"JU 360")</f>
        <v>JU 360</v>
      </c>
      <c r="AG71" s="11" t="str">
        <f ca="1">IFERROR(__xludf.DUMMYFUNCTION("""COMPUTED_VALUE"""),"27/10/2024")</f>
        <v>27/10/2024</v>
      </c>
      <c r="AH71" s="12">
        <v>0.28125</v>
      </c>
      <c r="AI71" s="11"/>
      <c r="AJ71" s="2"/>
    </row>
    <row r="72" spans="1:36" ht="14.4" customHeight="1" x14ac:dyDescent="0.25">
      <c r="A72" s="9">
        <f ca="1">IFERROR(__xludf.DUMMYFUNCTION("""COMPUTED_VALUE"""),71)</f>
        <v>71</v>
      </c>
      <c r="B72" s="9"/>
      <c r="C72" s="9"/>
      <c r="D72" s="9" t="str">
        <f ca="1">IFERROR(__xludf.DUMMYFUNCTION("""COMPUTED_VALUE"""),"22/08/2024")</f>
        <v>22/08/2024</v>
      </c>
      <c r="E72" s="23" t="str">
        <f ca="1">IFERROR(__xludf.DUMMYFUNCTION("""COMPUTED_VALUE"""),"Player")</f>
        <v>Player</v>
      </c>
      <c r="F72" s="9" t="str">
        <f ca="1">IFERROR(__xludf.DUMMYFUNCTION("""COMPUTED_VALUE"""),"Sereda, Yaroslava")</f>
        <v>Sereda, Yaroslava</v>
      </c>
      <c r="G72" s="9" t="str">
        <f ca="1">IFERROR(__xludf.DUMMYFUNCTION("""COMPUTED_VALUE"""),"GER")</f>
        <v>GER</v>
      </c>
      <c r="H72" s="9"/>
      <c r="I72" s="9"/>
      <c r="J72" s="9">
        <f ca="1">IFERROR(__xludf.DUMMYFUNCTION("""COMPUTED_VALUE"""),100)</f>
        <v>100</v>
      </c>
      <c r="K72" s="9"/>
      <c r="L72" s="9"/>
      <c r="M72" s="9" t="s">
        <v>4</v>
      </c>
      <c r="N72" s="9" t="str">
        <f ca="1">IFERROR(__xludf.DUMMYFUNCTION("""COMPUTED_VALUE"""),"GER")</f>
        <v>GER</v>
      </c>
      <c r="O72" s="9" t="str">
        <f ca="1">IFERROR(__xludf.DUMMYFUNCTION("""COMPUTED_VALUE"""),"Tonanti")</f>
        <v>Tonanti</v>
      </c>
      <c r="P72" s="9" t="str">
        <f ca="1">IFERROR(__xludf.DUMMYFUNCTION("""COMPUTED_VALUE"""),"Double")</f>
        <v>Double</v>
      </c>
      <c r="Q72" s="9" t="str">
        <f ca="1">IFERROR(__xludf.DUMMYFUNCTION("""COMPUTED_VALUE"""),"N.N. 1")</f>
        <v>N.N. 1</v>
      </c>
      <c r="R72" s="9"/>
      <c r="S72" s="9" t="str">
        <f ca="1">IFERROR(__xludf.DUMMYFUNCTION("""COMPUTED_VALUE"""),"19/10/2024")</f>
        <v>19/10/2024</v>
      </c>
      <c r="T72" s="9" t="str">
        <f ca="1">IFERROR(__xludf.DUMMYFUNCTION("""COMPUTED_VALUE"""),"27/10/2024")</f>
        <v>27/10/2024</v>
      </c>
      <c r="U72" s="9">
        <f ca="1">IFERROR(__xludf.DUMMYFUNCTION("""COMPUTED_VALUE"""),8)</f>
        <v>8</v>
      </c>
      <c r="V72" s="9">
        <f ca="1">IFERROR(__xludf.DUMMYFUNCTION("""COMPUTED_VALUE"""),0)</f>
        <v>0</v>
      </c>
      <c r="W72" s="9">
        <f ca="1">IFERROR(__xludf.DUMMYFUNCTION("""COMPUTED_VALUE"""),12.8)</f>
        <v>12.8</v>
      </c>
      <c r="X72" s="9">
        <f ca="1">IFERROR(__xludf.DUMMYFUNCTION("""COMPUTED_VALUE"""),12.8)</f>
        <v>12.8</v>
      </c>
      <c r="Y72" s="9"/>
      <c r="Z72" s="9"/>
      <c r="AA72" s="9"/>
      <c r="AB72" s="9"/>
      <c r="AC72" s="9"/>
      <c r="AD72" s="34" t="str">
        <f ca="1">IFERROR(__xludf.DUMMYFUNCTION("""COMPUTED_VALUE"""),"YES")</f>
        <v>YES</v>
      </c>
      <c r="AE72" s="10" t="str">
        <f ca="1">IFERROR(__xludf.DUMMYFUNCTION("""COMPUTED_VALUE"""),"Beograd")</f>
        <v>Beograd</v>
      </c>
      <c r="AF72" s="11" t="str">
        <f ca="1">IFERROR(__xludf.DUMMYFUNCTION("""COMPUTED_VALUE"""),"JU 360")</f>
        <v>JU 360</v>
      </c>
      <c r="AG72" s="11" t="str">
        <f ca="1">IFERROR(__xludf.DUMMYFUNCTION("""COMPUTED_VALUE"""),"27/10/2024")</f>
        <v>27/10/2024</v>
      </c>
      <c r="AH72" s="12">
        <v>0.28125</v>
      </c>
      <c r="AI72" s="11"/>
      <c r="AJ72" s="2"/>
    </row>
    <row r="73" spans="1:36" ht="14.4" customHeight="1" x14ac:dyDescent="0.25">
      <c r="A73" s="9">
        <f ca="1">IFERROR(__xludf.DUMMYFUNCTION("""COMPUTED_VALUE"""),72)</f>
        <v>72</v>
      </c>
      <c r="B73" s="9"/>
      <c r="C73" s="9"/>
      <c r="D73" s="9" t="str">
        <f ca="1">IFERROR(__xludf.DUMMYFUNCTION("""COMPUTED_VALUE"""),"22/08/2024")</f>
        <v>22/08/2024</v>
      </c>
      <c r="E73" s="23" t="str">
        <f ca="1">IFERROR(__xludf.DUMMYFUNCTION("""COMPUTED_VALUE"""),"Player")</f>
        <v>Player</v>
      </c>
      <c r="F73" s="9" t="str">
        <f ca="1">IFERROR(__xludf.DUMMYFUNCTION("""COMPUTED_VALUE"""),"Muedder, Melanie")</f>
        <v>Muedder, Melanie</v>
      </c>
      <c r="G73" s="9" t="str">
        <f ca="1">IFERROR(__xludf.DUMMYFUNCTION("""COMPUTED_VALUE"""),"GER")</f>
        <v>GER</v>
      </c>
      <c r="H73" s="9"/>
      <c r="I73" s="9"/>
      <c r="J73" s="9">
        <f ca="1">IFERROR(__xludf.DUMMYFUNCTION("""COMPUTED_VALUE"""),100)</f>
        <v>100</v>
      </c>
      <c r="K73" s="9"/>
      <c r="L73" s="9"/>
      <c r="M73" s="9" t="s">
        <v>4</v>
      </c>
      <c r="N73" s="9" t="str">
        <f ca="1">IFERROR(__xludf.DUMMYFUNCTION("""COMPUTED_VALUE"""),"GER")</f>
        <v>GER</v>
      </c>
      <c r="O73" s="9" t="str">
        <f ca="1">IFERROR(__xludf.DUMMYFUNCTION("""COMPUTED_VALUE"""),"Tonanti")</f>
        <v>Tonanti</v>
      </c>
      <c r="P73" s="9" t="str">
        <f ca="1">IFERROR(__xludf.DUMMYFUNCTION("""COMPUTED_VALUE"""),"Double")</f>
        <v>Double</v>
      </c>
      <c r="Q73" s="9" t="str">
        <f ca="1">IFERROR(__xludf.DUMMYFUNCTION("""COMPUTED_VALUE"""),"Rudolph")</f>
        <v>Rudolph</v>
      </c>
      <c r="R73" s="9"/>
      <c r="S73" s="9" t="str">
        <f ca="1">IFERROR(__xludf.DUMMYFUNCTION("""COMPUTED_VALUE"""),"19/10/2024")</f>
        <v>19/10/2024</v>
      </c>
      <c r="T73" s="9" t="str">
        <f ca="1">IFERROR(__xludf.DUMMYFUNCTION("""COMPUTED_VALUE"""),"27/10/2024")</f>
        <v>27/10/2024</v>
      </c>
      <c r="U73" s="9">
        <f ca="1">IFERROR(__xludf.DUMMYFUNCTION("""COMPUTED_VALUE"""),8)</f>
        <v>8</v>
      </c>
      <c r="V73" s="9">
        <f ca="1">IFERROR(__xludf.DUMMYFUNCTION("""COMPUTED_VALUE"""),0)</f>
        <v>0</v>
      </c>
      <c r="W73" s="9">
        <f ca="1">IFERROR(__xludf.DUMMYFUNCTION("""COMPUTED_VALUE"""),12.8)</f>
        <v>12.8</v>
      </c>
      <c r="X73" s="9">
        <f ca="1">IFERROR(__xludf.DUMMYFUNCTION("""COMPUTED_VALUE"""),12.8)</f>
        <v>12.8</v>
      </c>
      <c r="Y73" s="9"/>
      <c r="Z73" s="9"/>
      <c r="AA73" s="9"/>
      <c r="AB73" s="9"/>
      <c r="AC73" s="9"/>
      <c r="AD73" s="34" t="str">
        <f ca="1">IFERROR(__xludf.DUMMYFUNCTION("""COMPUTED_VALUE"""),"YES")</f>
        <v>YES</v>
      </c>
      <c r="AE73" s="10" t="str">
        <f ca="1">IFERROR(__xludf.DUMMYFUNCTION("""COMPUTED_VALUE"""),"Beograd")</f>
        <v>Beograd</v>
      </c>
      <c r="AF73" s="11" t="str">
        <f ca="1">IFERROR(__xludf.DUMMYFUNCTION("""COMPUTED_VALUE"""),"JU 360")</f>
        <v>JU 360</v>
      </c>
      <c r="AG73" s="11" t="str">
        <f ca="1">IFERROR(__xludf.DUMMYFUNCTION("""COMPUTED_VALUE"""),"27/10/2024")</f>
        <v>27/10/2024</v>
      </c>
      <c r="AH73" s="12">
        <v>0.28125</v>
      </c>
      <c r="AI73" s="11"/>
      <c r="AJ73" s="2"/>
    </row>
    <row r="74" spans="1:36" ht="14.4" customHeight="1" x14ac:dyDescent="0.25">
      <c r="A74" s="9">
        <f ca="1">IFERROR(__xludf.DUMMYFUNCTION("""COMPUTED_VALUE"""),73)</f>
        <v>73</v>
      </c>
      <c r="B74" s="9"/>
      <c r="C74" s="9"/>
      <c r="D74" s="9" t="str">
        <f ca="1">IFERROR(__xludf.DUMMYFUNCTION("""COMPUTED_VALUE"""),"22/08/2024")</f>
        <v>22/08/2024</v>
      </c>
      <c r="E74" s="23" t="str">
        <f ca="1">IFERROR(__xludf.DUMMYFUNCTION("""COMPUTED_VALUE"""),"Player")</f>
        <v>Player</v>
      </c>
      <c r="F74" s="9" t="str">
        <f ca="1">IFERROR(__xludf.DUMMYFUNCTION("""COMPUTED_VALUE"""),"Rudolph, Eva")</f>
        <v>Rudolph, Eva</v>
      </c>
      <c r="G74" s="9" t="str">
        <f ca="1">IFERROR(__xludf.DUMMYFUNCTION("""COMPUTED_VALUE"""),"GER")</f>
        <v>GER</v>
      </c>
      <c r="H74" s="9"/>
      <c r="I74" s="9"/>
      <c r="J74" s="9">
        <f ca="1">IFERROR(__xludf.DUMMYFUNCTION("""COMPUTED_VALUE"""),100)</f>
        <v>100</v>
      </c>
      <c r="K74" s="9"/>
      <c r="L74" s="9"/>
      <c r="M74" s="9" t="s">
        <v>4</v>
      </c>
      <c r="N74" s="9" t="str">
        <f ca="1">IFERROR(__xludf.DUMMYFUNCTION("""COMPUTED_VALUE"""),"GER")</f>
        <v>GER</v>
      </c>
      <c r="O74" s="9" t="str">
        <f ca="1">IFERROR(__xludf.DUMMYFUNCTION("""COMPUTED_VALUE"""),"Tonanti")</f>
        <v>Tonanti</v>
      </c>
      <c r="P74" s="9" t="str">
        <f ca="1">IFERROR(__xludf.DUMMYFUNCTION("""COMPUTED_VALUE"""),"Double")</f>
        <v>Double</v>
      </c>
      <c r="Q74" s="9" t="str">
        <f ca="1">IFERROR(__xludf.DUMMYFUNCTION("""COMPUTED_VALUE"""),"Müdder")</f>
        <v>Müdder</v>
      </c>
      <c r="R74" s="9"/>
      <c r="S74" s="9" t="str">
        <f ca="1">IFERROR(__xludf.DUMMYFUNCTION("""COMPUTED_VALUE"""),"19/10/2024")</f>
        <v>19/10/2024</v>
      </c>
      <c r="T74" s="9" t="str">
        <f ca="1">IFERROR(__xludf.DUMMYFUNCTION("""COMPUTED_VALUE"""),"27/10/2024")</f>
        <v>27/10/2024</v>
      </c>
      <c r="U74" s="9">
        <f ca="1">IFERROR(__xludf.DUMMYFUNCTION("""COMPUTED_VALUE"""),8)</f>
        <v>8</v>
      </c>
      <c r="V74" s="9">
        <f ca="1">IFERROR(__xludf.DUMMYFUNCTION("""COMPUTED_VALUE"""),0)</f>
        <v>0</v>
      </c>
      <c r="W74" s="9">
        <f ca="1">IFERROR(__xludf.DUMMYFUNCTION("""COMPUTED_VALUE"""),12.8)</f>
        <v>12.8</v>
      </c>
      <c r="X74" s="9">
        <f ca="1">IFERROR(__xludf.DUMMYFUNCTION("""COMPUTED_VALUE"""),12.8)</f>
        <v>12.8</v>
      </c>
      <c r="Y74" s="9"/>
      <c r="Z74" s="9"/>
      <c r="AA74" s="9"/>
      <c r="AB74" s="9"/>
      <c r="AC74" s="9"/>
      <c r="AD74" s="34" t="str">
        <f ca="1">IFERROR(__xludf.DUMMYFUNCTION("""COMPUTED_VALUE"""),"YES")</f>
        <v>YES</v>
      </c>
      <c r="AE74" s="10" t="str">
        <f ca="1">IFERROR(__xludf.DUMMYFUNCTION("""COMPUTED_VALUE"""),"Beograd")</f>
        <v>Beograd</v>
      </c>
      <c r="AF74" s="11" t="str">
        <f ca="1">IFERROR(__xludf.DUMMYFUNCTION("""COMPUTED_VALUE"""),"JU 360")</f>
        <v>JU 360</v>
      </c>
      <c r="AG74" s="11" t="str">
        <f ca="1">IFERROR(__xludf.DUMMYFUNCTION("""COMPUTED_VALUE"""),"27/10/2024")</f>
        <v>27/10/2024</v>
      </c>
      <c r="AH74" s="12">
        <v>0.28125</v>
      </c>
      <c r="AI74" s="11"/>
      <c r="AJ74" s="2"/>
    </row>
    <row r="75" spans="1:36" ht="14.4" customHeight="1" x14ac:dyDescent="0.25">
      <c r="A75" s="9">
        <f ca="1">IFERROR(__xludf.DUMMYFUNCTION("""COMPUTED_VALUE"""),74)</f>
        <v>74</v>
      </c>
      <c r="B75" s="9"/>
      <c r="C75" s="9"/>
      <c r="D75" s="9" t="str">
        <f ca="1">IFERROR(__xludf.DUMMYFUNCTION("""COMPUTED_VALUE"""),"22/08/2024")</f>
        <v>22/08/2024</v>
      </c>
      <c r="E75" s="23" t="str">
        <f ca="1">IFERROR(__xludf.DUMMYFUNCTION("""COMPUTED_VALUE"""),"Player")</f>
        <v>Player</v>
      </c>
      <c r="F75" s="9"/>
      <c r="G75" s="9"/>
      <c r="H75" s="9"/>
      <c r="I75" s="9"/>
      <c r="J75" s="9">
        <f ca="1">IFERROR(__xludf.DUMMYFUNCTION("""COMPUTED_VALUE"""),100)</f>
        <v>100</v>
      </c>
      <c r="K75" s="9"/>
      <c r="L75" s="9"/>
      <c r="M75" s="9" t="s">
        <v>4</v>
      </c>
      <c r="N75" s="9" t="str">
        <f ca="1">IFERROR(__xludf.DUMMYFUNCTION("""COMPUTED_VALUE"""),"GER")</f>
        <v>GER</v>
      </c>
      <c r="O75" s="9" t="str">
        <f ca="1">IFERROR(__xludf.DUMMYFUNCTION("""COMPUTED_VALUE"""),"Tonanti")</f>
        <v>Tonanti</v>
      </c>
      <c r="P75" s="9" t="str">
        <f ca="1">IFERROR(__xludf.DUMMYFUNCTION("""COMPUTED_VALUE"""),"Single")</f>
        <v>Single</v>
      </c>
      <c r="Q75" s="9"/>
      <c r="R75" s="9"/>
      <c r="S75" s="9" t="str">
        <f ca="1">IFERROR(__xludf.DUMMYFUNCTION("""COMPUTED_VALUE"""),"19/10/2024")</f>
        <v>19/10/2024</v>
      </c>
      <c r="T75" s="9" t="str">
        <f ca="1">IFERROR(__xludf.DUMMYFUNCTION("""COMPUTED_VALUE"""),"27/10/2024")</f>
        <v>27/10/2024</v>
      </c>
      <c r="U75" s="9">
        <f ca="1">IFERROR(__xludf.DUMMYFUNCTION("""COMPUTED_VALUE"""),8)</f>
        <v>8</v>
      </c>
      <c r="V75" s="9">
        <f ca="1">IFERROR(__xludf.DUMMYFUNCTION("""COMPUTED_VALUE"""),0)</f>
        <v>0</v>
      </c>
      <c r="W75" s="9">
        <f ca="1">IFERROR(__xludf.DUMMYFUNCTION("""COMPUTED_VALUE"""),12.8)</f>
        <v>12.8</v>
      </c>
      <c r="X75" s="9">
        <f ca="1">IFERROR(__xludf.DUMMYFUNCTION("""COMPUTED_VALUE"""),12.8)</f>
        <v>12.8</v>
      </c>
      <c r="Y75" s="9"/>
      <c r="Z75" s="9"/>
      <c r="AA75" s="9"/>
      <c r="AB75" s="9"/>
      <c r="AC75" s="9"/>
      <c r="AD75" s="34" t="str">
        <f ca="1">IFERROR(__xludf.DUMMYFUNCTION("""COMPUTED_VALUE"""),"YES")</f>
        <v>YES</v>
      </c>
      <c r="AE75" s="10" t="str">
        <f ca="1">IFERROR(__xludf.DUMMYFUNCTION("""COMPUTED_VALUE"""),"Beograd")</f>
        <v>Beograd</v>
      </c>
      <c r="AF75" s="11" t="str">
        <f ca="1">IFERROR(__xludf.DUMMYFUNCTION("""COMPUTED_VALUE"""),"JU 360")</f>
        <v>JU 360</v>
      </c>
      <c r="AG75" s="11" t="str">
        <f ca="1">IFERROR(__xludf.DUMMYFUNCTION("""COMPUTED_VALUE"""),"27/10/2024")</f>
        <v>27/10/2024</v>
      </c>
      <c r="AH75" s="12">
        <v>0.28125</v>
      </c>
      <c r="AI75" s="11"/>
      <c r="AJ75" s="2"/>
    </row>
    <row r="76" spans="1:36" ht="14.4" customHeight="1" x14ac:dyDescent="0.25">
      <c r="A76" s="9">
        <f ca="1">IFERROR(__xludf.DUMMYFUNCTION("""COMPUTED_VALUE"""),75)</f>
        <v>75</v>
      </c>
      <c r="B76" s="9"/>
      <c r="C76" s="9"/>
      <c r="D76" s="9" t="str">
        <f ca="1">IFERROR(__xludf.DUMMYFUNCTION("""COMPUTED_VALUE"""),"23/08/2024")</f>
        <v>23/08/2024</v>
      </c>
      <c r="E76" s="23" t="str">
        <f ca="1">IFERROR(__xludf.DUMMYFUNCTION("""COMPUTED_VALUE"""),"Player")</f>
        <v>Player</v>
      </c>
      <c r="F76" s="9" t="str">
        <f ca="1">IFERROR(__xludf.DUMMYFUNCTION("""COMPUTED_VALUE"""),"Assaubayeva, Bibisara")</f>
        <v>Assaubayeva, Bibisara</v>
      </c>
      <c r="G76" s="9" t="str">
        <f ca="1">IFERROR(__xludf.DUMMYFUNCTION("""COMPUTED_VALUE"""),"KAZ")</f>
        <v>KAZ</v>
      </c>
      <c r="H76" s="9" t="str">
        <f ca="1">IFERROR(__xludf.DUMMYFUNCTION("""COMPUTED_VALUE"""),"IM")</f>
        <v>IM</v>
      </c>
      <c r="I76" s="9"/>
      <c r="J76" s="9">
        <f ca="1">IFERROR(__xludf.DUMMYFUNCTION("""COMPUTED_VALUE"""),100)</f>
        <v>100</v>
      </c>
      <c r="K76" s="9"/>
      <c r="L76" s="9"/>
      <c r="M76" s="9" t="str">
        <f ca="1">IFERROR(__xludf.DUMMYFUNCTION("""COMPUTED_VALUE"""),"Garuda Ajka BSK")</f>
        <v>Garuda Ajka BSK</v>
      </c>
      <c r="N76" s="9" t="str">
        <f ca="1">IFERROR(__xludf.DUMMYFUNCTION("""COMPUTED_VALUE"""),"HUN")</f>
        <v>HUN</v>
      </c>
      <c r="O76" s="9" t="str">
        <f ca="1">IFERROR(__xludf.DUMMYFUNCTION("""COMPUTED_VALUE"""),"Terme")</f>
        <v>Terme</v>
      </c>
      <c r="P76" s="9" t="str">
        <f ca="1">IFERROR(__xludf.DUMMYFUNCTION("""COMPUTED_VALUE"""),"Single")</f>
        <v>Single</v>
      </c>
      <c r="Q76" s="9"/>
      <c r="R76" s="9">
        <f ca="1">IFERROR(__xludf.DUMMYFUNCTION("""COMPUTED_VALUE"""),104)</f>
        <v>104</v>
      </c>
      <c r="S76" s="9" t="str">
        <f ca="1">IFERROR(__xludf.DUMMYFUNCTION("""COMPUTED_VALUE"""),"19/10/2024")</f>
        <v>19/10/2024</v>
      </c>
      <c r="T76" s="9" t="str">
        <f ca="1">IFERROR(__xludf.DUMMYFUNCTION("""COMPUTED_VALUE"""),"27/10/2024")</f>
        <v>27/10/2024</v>
      </c>
      <c r="U76" s="9">
        <f ca="1">IFERROR(__xludf.DUMMYFUNCTION("""COMPUTED_VALUE"""),8)</f>
        <v>8</v>
      </c>
      <c r="V76" s="9">
        <f ca="1">IFERROR(__xludf.DUMMYFUNCTION("""COMPUTED_VALUE"""),832)</f>
        <v>832</v>
      </c>
      <c r="W76" s="9">
        <f ca="1">IFERROR(__xludf.DUMMYFUNCTION("""COMPUTED_VALUE"""),12.8)</f>
        <v>12.8</v>
      </c>
      <c r="X76" s="9">
        <f ca="1">IFERROR(__xludf.DUMMYFUNCTION("""COMPUTED_VALUE"""),844.8)</f>
        <v>844.8</v>
      </c>
      <c r="Y76" s="9"/>
      <c r="Z76" s="9"/>
      <c r="AA76" s="9"/>
      <c r="AB76" s="9"/>
      <c r="AC76" s="9"/>
      <c r="AD76" s="20" t="str">
        <f ca="1">IFERROR(__xludf.DUMMYFUNCTION("""COMPUTED_VALUE"""),"YES")</f>
        <v>YES</v>
      </c>
      <c r="AE76" s="10" t="str">
        <f ca="1">IFERROR(__xludf.DUMMYFUNCTION("""COMPUTED_VALUE"""),"Beograd")</f>
        <v>Beograd</v>
      </c>
      <c r="AF76" s="11" t="str">
        <f ca="1">IFERROR(__xludf.DUMMYFUNCTION("""COMPUTED_VALUE"""),"TK1080")</f>
        <v>TK1080</v>
      </c>
      <c r="AG76" s="11" t="str">
        <f ca="1">IFERROR(__xludf.DUMMYFUNCTION("""COMPUTED_VALUE"""),"27/10/2024")</f>
        <v>27/10/2024</v>
      </c>
      <c r="AH76" s="12">
        <f ca="1">IFERROR(__xludf.DUMMYFUNCTION("""COMPUTED_VALUE"""),0.631944444444444)</f>
        <v>0.63194444444444398</v>
      </c>
      <c r="AI76" s="11"/>
      <c r="AJ76" s="2" t="str">
        <f ca="1">IFERROR(__xludf.DUMMYFUNCTION("""COMPUTED_VALUE"""),"NOVO")</f>
        <v>NOVO</v>
      </c>
    </row>
    <row r="77" spans="1:36" ht="14.4" customHeight="1" x14ac:dyDescent="0.25">
      <c r="A77" s="9">
        <f ca="1">IFERROR(__xludf.DUMMYFUNCTION("""COMPUTED_VALUE"""),76)</f>
        <v>76</v>
      </c>
      <c r="B77" s="9"/>
      <c r="C77" s="9"/>
      <c r="D77" s="9" t="str">
        <f ca="1">IFERROR(__xludf.DUMMYFUNCTION("""COMPUTED_VALUE"""),"23/08/2024")</f>
        <v>23/08/2024</v>
      </c>
      <c r="E77" s="23" t="str">
        <f ca="1">IFERROR(__xludf.DUMMYFUNCTION("""COMPUTED_VALUE"""),"Player")</f>
        <v>Player</v>
      </c>
      <c r="F77" s="9" t="str">
        <f ca="1">IFERROR(__xludf.DUMMYFUNCTION("""COMPUTED_VALUE"""),"Divya Deshmukh")</f>
        <v>Divya Deshmukh</v>
      </c>
      <c r="G77" s="9" t="str">
        <f ca="1">IFERROR(__xludf.DUMMYFUNCTION("""COMPUTED_VALUE"""),"IND")</f>
        <v>IND</v>
      </c>
      <c r="H77" s="9" t="str">
        <f ca="1">IFERROR(__xludf.DUMMYFUNCTION("""COMPUTED_VALUE"""),"IM")</f>
        <v>IM</v>
      </c>
      <c r="I77" s="9"/>
      <c r="J77" s="9">
        <f ca="1">IFERROR(__xludf.DUMMYFUNCTION("""COMPUTED_VALUE"""),100)</f>
        <v>100</v>
      </c>
      <c r="K77" s="9"/>
      <c r="L77" s="9"/>
      <c r="M77" s="9" t="str">
        <f ca="1">IFERROR(__xludf.DUMMYFUNCTION("""COMPUTED_VALUE"""),"Garuda Ajka BSK")</f>
        <v>Garuda Ajka BSK</v>
      </c>
      <c r="N77" s="9" t="str">
        <f ca="1">IFERROR(__xludf.DUMMYFUNCTION("""COMPUTED_VALUE"""),"HUN")</f>
        <v>HUN</v>
      </c>
      <c r="O77" s="9" t="str">
        <f ca="1">IFERROR(__xludf.DUMMYFUNCTION("""COMPUTED_VALUE"""),"Terme")</f>
        <v>Terme</v>
      </c>
      <c r="P77" s="9" t="str">
        <f ca="1">IFERROR(__xludf.DUMMYFUNCTION("""COMPUTED_VALUE"""),"Single")</f>
        <v>Single</v>
      </c>
      <c r="Q77" s="9"/>
      <c r="R77" s="9">
        <f ca="1">IFERROR(__xludf.DUMMYFUNCTION("""COMPUTED_VALUE"""),104)</f>
        <v>104</v>
      </c>
      <c r="S77" s="9" t="str">
        <f ca="1">IFERROR(__xludf.DUMMYFUNCTION("""COMPUTED_VALUE"""),"19/10/2024")</f>
        <v>19/10/2024</v>
      </c>
      <c r="T77" s="9" t="str">
        <f ca="1">IFERROR(__xludf.DUMMYFUNCTION("""COMPUTED_VALUE"""),"27/10/2024")</f>
        <v>27/10/2024</v>
      </c>
      <c r="U77" s="9">
        <f ca="1">IFERROR(__xludf.DUMMYFUNCTION("""COMPUTED_VALUE"""),8)</f>
        <v>8</v>
      </c>
      <c r="V77" s="9">
        <f ca="1">IFERROR(__xludf.DUMMYFUNCTION("""COMPUTED_VALUE"""),832)</f>
        <v>832</v>
      </c>
      <c r="W77" s="9">
        <f ca="1">IFERROR(__xludf.DUMMYFUNCTION("""COMPUTED_VALUE"""),12.8)</f>
        <v>12.8</v>
      </c>
      <c r="X77" s="9">
        <f ca="1">IFERROR(__xludf.DUMMYFUNCTION("""COMPUTED_VALUE"""),844.8)</f>
        <v>844.8</v>
      </c>
      <c r="Y77" s="9"/>
      <c r="Z77" s="9"/>
      <c r="AA77" s="9"/>
      <c r="AB77" s="9" t="str">
        <f ca="1">IFERROR(__xludf.DUMMYFUNCTION("""COMPUTED_VALUE"""),"double to single")</f>
        <v>double to single</v>
      </c>
      <c r="AC77" s="9"/>
      <c r="AD77" s="20" t="str">
        <f ca="1">IFERROR(__xludf.DUMMYFUNCTION("""COMPUTED_VALUE"""),"YES")</f>
        <v>YES</v>
      </c>
      <c r="AE77" s="10" t="str">
        <f ca="1">IFERROR(__xludf.DUMMYFUNCTION("""COMPUTED_VALUE"""),"Beograd")</f>
        <v>Beograd</v>
      </c>
      <c r="AF77" s="11" t="str">
        <f ca="1">IFERROR(__xludf.DUMMYFUNCTION("""COMPUTED_VALUE"""),"PC374")</f>
        <v>PC374</v>
      </c>
      <c r="AG77" s="11" t="str">
        <f ca="1">IFERROR(__xludf.DUMMYFUNCTION("""COMPUTED_VALUE"""),"27/10/2024")</f>
        <v>27/10/2024</v>
      </c>
      <c r="AH77" s="12">
        <f ca="1">IFERROR(__xludf.DUMMYFUNCTION("""COMPUTED_VALUE"""),0.472222222222222)</f>
        <v>0.47222222222222199</v>
      </c>
      <c r="AI77" s="11"/>
      <c r="AJ77" s="2" t="str">
        <f ca="1">IFERROR(__xludf.DUMMYFUNCTION("""COMPUTED_VALUE"""),"NOVO")</f>
        <v>NOVO</v>
      </c>
    </row>
    <row r="78" spans="1:36" ht="14.4" customHeight="1" x14ac:dyDescent="0.25">
      <c r="A78" s="8">
        <f ca="1">IFERROR(__xludf.DUMMYFUNCTION("""COMPUTED_VALUE"""),77)</f>
        <v>77</v>
      </c>
      <c r="B78" s="9"/>
      <c r="C78" s="9"/>
      <c r="D78" s="9" t="str">
        <f ca="1">IFERROR(__xludf.DUMMYFUNCTION("""COMPUTED_VALUE"""),"23/08/2024")</f>
        <v>23/08/2024</v>
      </c>
      <c r="E78" s="16" t="str">
        <f ca="1">IFERROR(__xludf.DUMMYFUNCTION("""COMPUTED_VALUE"""),"Player")</f>
        <v>Player</v>
      </c>
      <c r="F78" s="8" t="str">
        <f ca="1">IFERROR(__xludf.DUMMYFUNCTION("""COMPUTED_VALUE"""),"Khotenashvili, Bella")</f>
        <v>Khotenashvili, Bella</v>
      </c>
      <c r="G78" s="8" t="str">
        <f ca="1">IFERROR(__xludf.DUMMYFUNCTION("""COMPUTED_VALUE"""),"GEO")</f>
        <v>GEO</v>
      </c>
      <c r="H78" s="8" t="str">
        <f ca="1">IFERROR(__xludf.DUMMYFUNCTION("""COMPUTED_VALUE"""),"GM")</f>
        <v>GM</v>
      </c>
      <c r="I78" s="9"/>
      <c r="J78" s="9">
        <f ca="1">IFERROR(__xludf.DUMMYFUNCTION("""COMPUTED_VALUE"""),100)</f>
        <v>100</v>
      </c>
      <c r="K78" s="9"/>
      <c r="L78" s="9"/>
      <c r="M78" s="8" t="str">
        <f ca="1">IFERROR(__xludf.DUMMYFUNCTION("""COMPUTED_VALUE"""),"Garuda Ajka BSK")</f>
        <v>Garuda Ajka BSK</v>
      </c>
      <c r="N78" s="8" t="str">
        <f ca="1">IFERROR(__xludf.DUMMYFUNCTION("""COMPUTED_VALUE"""),"HUN")</f>
        <v>HUN</v>
      </c>
      <c r="O78" s="8" t="str">
        <f ca="1">IFERROR(__xludf.DUMMYFUNCTION("""COMPUTED_VALUE"""),"Terme")</f>
        <v>Terme</v>
      </c>
      <c r="P78" s="9" t="str">
        <f ca="1">IFERROR(__xludf.DUMMYFUNCTION("""COMPUTED_VALUE"""),"Single")</f>
        <v>Single</v>
      </c>
      <c r="Q78" s="9"/>
      <c r="R78" s="9">
        <f ca="1">IFERROR(__xludf.DUMMYFUNCTION("""COMPUTED_VALUE"""),104)</f>
        <v>104</v>
      </c>
      <c r="S78" s="8" t="str">
        <f ca="1">IFERROR(__xludf.DUMMYFUNCTION("""COMPUTED_VALUE"""),"18/10/2024")</f>
        <v>18/10/2024</v>
      </c>
      <c r="T78" s="8" t="str">
        <f ca="1">IFERROR(__xludf.DUMMYFUNCTION("""COMPUTED_VALUE"""),"27/10/2024")</f>
        <v>27/10/2024</v>
      </c>
      <c r="U78" s="9">
        <f ca="1">IFERROR(__xludf.DUMMYFUNCTION("""COMPUTED_VALUE"""),9)</f>
        <v>9</v>
      </c>
      <c r="V78" s="9">
        <f ca="1">IFERROR(__xludf.DUMMYFUNCTION("""COMPUTED_VALUE"""),936)</f>
        <v>936</v>
      </c>
      <c r="W78" s="9">
        <f ca="1">IFERROR(__xludf.DUMMYFUNCTION("""COMPUTED_VALUE"""),14.4)</f>
        <v>14.4</v>
      </c>
      <c r="X78" s="9">
        <f ca="1">IFERROR(__xludf.DUMMYFUNCTION("""COMPUTED_VALUE"""),950.4)</f>
        <v>950.4</v>
      </c>
      <c r="Y78" s="9"/>
      <c r="Z78" s="9"/>
      <c r="AA78" s="9"/>
      <c r="AB78" s="9"/>
      <c r="AC78" s="9"/>
      <c r="AD78" s="20" t="str">
        <f ca="1">IFERROR(__xludf.DUMMYFUNCTION("""COMPUTED_VALUE"""),"YES")</f>
        <v>YES</v>
      </c>
      <c r="AE78" s="10" t="str">
        <f ca="1">IFERROR(__xludf.DUMMYFUNCTION("""COMPUTED_VALUE"""),"Beograd")</f>
        <v>Beograd</v>
      </c>
      <c r="AF78" s="26" t="str">
        <f ca="1">IFERROR(__xludf.DUMMYFUNCTION("""COMPUTED_VALUE"""),"TK1084")</f>
        <v>TK1084</v>
      </c>
      <c r="AG78" s="26" t="str">
        <f ca="1">IFERROR(__xludf.DUMMYFUNCTION("""COMPUTED_VALUE"""),"27/10/2024")</f>
        <v>27/10/2024</v>
      </c>
      <c r="AH78" s="27">
        <f ca="1">IFERROR(__xludf.DUMMYFUNCTION("""COMPUTED_VALUE"""),0.840277777777777)</f>
        <v>0.84027777777777701</v>
      </c>
      <c r="AI78" s="26"/>
      <c r="AJ78" s="2" t="str">
        <f ca="1">IFERROR(__xludf.DUMMYFUNCTION("""COMPUTED_VALUE"""),"NOVO")</f>
        <v>NOVO</v>
      </c>
    </row>
    <row r="79" spans="1:36" ht="14.4" customHeight="1" x14ac:dyDescent="0.25">
      <c r="A79" s="9">
        <f ca="1">IFERROR(__xludf.DUMMYFUNCTION("""COMPUTED_VALUE"""),78)</f>
        <v>78</v>
      </c>
      <c r="B79" s="9"/>
      <c r="C79" s="9"/>
      <c r="D79" s="9" t="str">
        <f ca="1">IFERROR(__xludf.DUMMYFUNCTION("""COMPUTED_VALUE"""),"23/08/2024")</f>
        <v>23/08/2024</v>
      </c>
      <c r="E79" s="23" t="str">
        <f ca="1">IFERROR(__xludf.DUMMYFUNCTION("""COMPUTED_VALUE"""),"Player")</f>
        <v>Player</v>
      </c>
      <c r="F79" s="9" t="str">
        <f ca="1">IFERROR(__xludf.DUMMYFUNCTION("""COMPUTED_VALUE"""),"Injac, Teodora")</f>
        <v>Injac, Teodora</v>
      </c>
      <c r="G79" s="9" t="str">
        <f ca="1">IFERROR(__xludf.DUMMYFUNCTION("""COMPUTED_VALUE"""),"SRB")</f>
        <v>SRB</v>
      </c>
      <c r="H79" s="9" t="str">
        <f ca="1">IFERROR(__xludf.DUMMYFUNCTION("""COMPUTED_VALUE"""),"IM")</f>
        <v>IM</v>
      </c>
      <c r="I79" s="9"/>
      <c r="J79" s="9">
        <f ca="1">IFERROR(__xludf.DUMMYFUNCTION("""COMPUTED_VALUE"""),100)</f>
        <v>100</v>
      </c>
      <c r="K79" s="9"/>
      <c r="L79" s="9"/>
      <c r="M79" s="9" t="str">
        <f ca="1">IFERROR(__xludf.DUMMYFUNCTION("""COMPUTED_VALUE"""),"Garuda Ajka BSK")</f>
        <v>Garuda Ajka BSK</v>
      </c>
      <c r="N79" s="9" t="str">
        <f ca="1">IFERROR(__xludf.DUMMYFUNCTION("""COMPUTED_VALUE"""),"HUN")</f>
        <v>HUN</v>
      </c>
      <c r="O79" s="9" t="str">
        <f ca="1">IFERROR(__xludf.DUMMYFUNCTION("""COMPUTED_VALUE"""),"Terme")</f>
        <v>Terme</v>
      </c>
      <c r="P79" s="9" t="str">
        <f ca="1">IFERROR(__xludf.DUMMYFUNCTION("""COMPUTED_VALUE"""),"Single")</f>
        <v>Single</v>
      </c>
      <c r="Q79" s="9"/>
      <c r="R79" s="9">
        <f ca="1">IFERROR(__xludf.DUMMYFUNCTION("""COMPUTED_VALUE"""),104)</f>
        <v>104</v>
      </c>
      <c r="S79" s="9" t="str">
        <f ca="1">IFERROR(__xludf.DUMMYFUNCTION("""COMPUTED_VALUE"""),"19/10/2024")</f>
        <v>19/10/2024</v>
      </c>
      <c r="T79" s="9" t="str">
        <f ca="1">IFERROR(__xludf.DUMMYFUNCTION("""COMPUTED_VALUE"""),"27/10/2024")</f>
        <v>27/10/2024</v>
      </c>
      <c r="U79" s="9">
        <f ca="1">IFERROR(__xludf.DUMMYFUNCTION("""COMPUTED_VALUE"""),8)</f>
        <v>8</v>
      </c>
      <c r="V79" s="9">
        <f ca="1">IFERROR(__xludf.DUMMYFUNCTION("""COMPUTED_VALUE"""),832)</f>
        <v>832</v>
      </c>
      <c r="W79" s="9">
        <f ca="1">IFERROR(__xludf.DUMMYFUNCTION("""COMPUTED_VALUE"""),12.8)</f>
        <v>12.8</v>
      </c>
      <c r="X79" s="9">
        <f ca="1">IFERROR(__xludf.DUMMYFUNCTION("""COMPUTED_VALUE"""),844.8)</f>
        <v>844.8</v>
      </c>
      <c r="Y79" s="9"/>
      <c r="Z79" s="9"/>
      <c r="AA79" s="9"/>
      <c r="AB79" s="9"/>
      <c r="AC79" s="9"/>
      <c r="AD79" s="20" t="str">
        <f ca="1">IFERROR(__xludf.DUMMYFUNCTION("""COMPUTED_VALUE"""),"NO")</f>
        <v>NO</v>
      </c>
      <c r="AE79" s="10"/>
      <c r="AF79" s="11"/>
      <c r="AG79" s="11"/>
      <c r="AH79" s="11"/>
      <c r="AI79" s="11"/>
      <c r="AJ79" s="2"/>
    </row>
    <row r="80" spans="1:36" ht="14.4" customHeight="1" x14ac:dyDescent="0.25">
      <c r="A80" s="9">
        <f ca="1">IFERROR(__xludf.DUMMYFUNCTION("""COMPUTED_VALUE"""),79)</f>
        <v>79</v>
      </c>
      <c r="B80" s="9"/>
      <c r="C80" s="9"/>
      <c r="D80" s="9" t="str">
        <f ca="1">IFERROR(__xludf.DUMMYFUNCTION("""COMPUTED_VALUE"""),"23/08/2024")</f>
        <v>23/08/2024</v>
      </c>
      <c r="E80" s="23" t="str">
        <f ca="1">IFERROR(__xludf.DUMMYFUNCTION("""COMPUTED_VALUE"""),"Player")</f>
        <v>Player</v>
      </c>
      <c r="F80" s="9" t="str">
        <f ca="1">IFERROR(__xludf.DUMMYFUNCTION("""COMPUTED_VALUE"""),"Gaal, Zsoka")</f>
        <v>Gaal, Zsoka</v>
      </c>
      <c r="G80" s="9" t="str">
        <f ca="1">IFERROR(__xludf.DUMMYFUNCTION("""COMPUTED_VALUE"""),"HUN")</f>
        <v>HUN</v>
      </c>
      <c r="H80" s="9" t="str">
        <f ca="1">IFERROR(__xludf.DUMMYFUNCTION("""COMPUTED_VALUE"""),"WIM")</f>
        <v>WIM</v>
      </c>
      <c r="I80" s="9"/>
      <c r="J80" s="9">
        <f ca="1">IFERROR(__xludf.DUMMYFUNCTION("""COMPUTED_VALUE"""),100)</f>
        <v>100</v>
      </c>
      <c r="K80" s="9"/>
      <c r="L80" s="9"/>
      <c r="M80" s="9" t="str">
        <f ca="1">IFERROR(__xludf.DUMMYFUNCTION("""COMPUTED_VALUE"""),"Garuda Ajka BSK")</f>
        <v>Garuda Ajka BSK</v>
      </c>
      <c r="N80" s="9" t="str">
        <f ca="1">IFERROR(__xludf.DUMMYFUNCTION("""COMPUTED_VALUE"""),"HUN")</f>
        <v>HUN</v>
      </c>
      <c r="O80" s="9" t="str">
        <f ca="1">IFERROR(__xludf.DUMMYFUNCTION("""COMPUTED_VALUE"""),"Terme")</f>
        <v>Terme</v>
      </c>
      <c r="P80" s="9" t="str">
        <f ca="1">IFERROR(__xludf.DUMMYFUNCTION("""COMPUTED_VALUE"""),"Single")</f>
        <v>Single</v>
      </c>
      <c r="Q80" s="9"/>
      <c r="R80" s="9">
        <f ca="1">IFERROR(__xludf.DUMMYFUNCTION("""COMPUTED_VALUE"""),104)</f>
        <v>104</v>
      </c>
      <c r="S80" s="9" t="str">
        <f ca="1">IFERROR(__xludf.DUMMYFUNCTION("""COMPUTED_VALUE"""),"19/10/2024")</f>
        <v>19/10/2024</v>
      </c>
      <c r="T80" s="9" t="str">
        <f ca="1">IFERROR(__xludf.DUMMYFUNCTION("""COMPUTED_VALUE"""),"27/10/2024")</f>
        <v>27/10/2024</v>
      </c>
      <c r="U80" s="9">
        <f ca="1">IFERROR(__xludf.DUMMYFUNCTION("""COMPUTED_VALUE"""),8)</f>
        <v>8</v>
      </c>
      <c r="V80" s="9">
        <f ca="1">IFERROR(__xludf.DUMMYFUNCTION("""COMPUTED_VALUE"""),832)</f>
        <v>832</v>
      </c>
      <c r="W80" s="9">
        <f ca="1">IFERROR(__xludf.DUMMYFUNCTION("""COMPUTED_VALUE"""),12.8)</f>
        <v>12.8</v>
      </c>
      <c r="X80" s="9">
        <f ca="1">IFERROR(__xludf.DUMMYFUNCTION("""COMPUTED_VALUE"""),844.8)</f>
        <v>844.8</v>
      </c>
      <c r="Y80" s="9"/>
      <c r="Z80" s="9"/>
      <c r="AA80" s="9"/>
      <c r="AB80" s="9"/>
      <c r="AC80" s="9"/>
      <c r="AD80" s="20" t="str">
        <f ca="1">IFERROR(__xludf.DUMMYFUNCTION("""COMPUTED_VALUE"""),"NO")</f>
        <v>NO</v>
      </c>
      <c r="AE80" s="10"/>
      <c r="AF80" s="11"/>
      <c r="AG80" s="11"/>
      <c r="AH80" s="11"/>
      <c r="AI80" s="11"/>
      <c r="AJ80" s="2"/>
    </row>
    <row r="81" spans="1:36" ht="14.4" customHeight="1" x14ac:dyDescent="0.25">
      <c r="A81" s="9">
        <f ca="1">IFERROR(__xludf.DUMMYFUNCTION("""COMPUTED_VALUE"""),80)</f>
        <v>80</v>
      </c>
      <c r="B81" s="9"/>
      <c r="C81" s="9"/>
      <c r="D81" s="9" t="str">
        <f ca="1">IFERROR(__xludf.DUMMYFUNCTION("""COMPUTED_VALUE"""),"23/08/2024")</f>
        <v>23/08/2024</v>
      </c>
      <c r="E81" s="23" t="s">
        <v>0</v>
      </c>
      <c r="F81" s="9" t="str">
        <f ca="1">IFERROR(__xludf.DUMMYFUNCTION("""COMPUTED_VALUE"""),"Balogh, Csaba")</f>
        <v>Balogh, Csaba</v>
      </c>
      <c r="G81" s="9" t="str">
        <f ca="1">IFERROR(__xludf.DUMMYFUNCTION("""COMPUTED_VALUE"""),"HUN")</f>
        <v>HUN</v>
      </c>
      <c r="H81" s="9" t="str">
        <f ca="1">IFERROR(__xludf.DUMMYFUNCTION("""COMPUTED_VALUE"""),"GM")</f>
        <v>GM</v>
      </c>
      <c r="I81" s="9"/>
      <c r="J81" s="9">
        <f ca="1">IFERROR(__xludf.DUMMYFUNCTION("""COMPUTED_VALUE"""),100)</f>
        <v>100</v>
      </c>
      <c r="K81" s="9"/>
      <c r="L81" s="9"/>
      <c r="M81" s="9" t="str">
        <f ca="1">IFERROR(__xludf.DUMMYFUNCTION("""COMPUTED_VALUE"""),"Garuda Ajka BSK")</f>
        <v>Garuda Ajka BSK</v>
      </c>
      <c r="N81" s="9" t="str">
        <f ca="1">IFERROR(__xludf.DUMMYFUNCTION("""COMPUTED_VALUE"""),"HUN")</f>
        <v>HUN</v>
      </c>
      <c r="O81" s="9" t="str">
        <f ca="1">IFERROR(__xludf.DUMMYFUNCTION("""COMPUTED_VALUE"""),"Terme")</f>
        <v>Terme</v>
      </c>
      <c r="P81" s="9" t="str">
        <f ca="1">IFERROR(__xludf.DUMMYFUNCTION("""COMPUTED_VALUE"""),"Single")</f>
        <v>Single</v>
      </c>
      <c r="Q81" s="9"/>
      <c r="R81" s="9">
        <f ca="1">IFERROR(__xludf.DUMMYFUNCTION("""COMPUTED_VALUE"""),104)</f>
        <v>104</v>
      </c>
      <c r="S81" s="9" t="str">
        <f ca="1">IFERROR(__xludf.DUMMYFUNCTION("""COMPUTED_VALUE"""),"19/10/2024")</f>
        <v>19/10/2024</v>
      </c>
      <c r="T81" s="9" t="str">
        <f ca="1">IFERROR(__xludf.DUMMYFUNCTION("""COMPUTED_VALUE"""),"27/10/2024")</f>
        <v>27/10/2024</v>
      </c>
      <c r="U81" s="9">
        <f ca="1">IFERROR(__xludf.DUMMYFUNCTION("""COMPUTED_VALUE"""),8)</f>
        <v>8</v>
      </c>
      <c r="V81" s="9">
        <f ca="1">IFERROR(__xludf.DUMMYFUNCTION("""COMPUTED_VALUE"""),832)</f>
        <v>832</v>
      </c>
      <c r="W81" s="9">
        <f ca="1">IFERROR(__xludf.DUMMYFUNCTION("""COMPUTED_VALUE"""),12.8)</f>
        <v>12.8</v>
      </c>
      <c r="X81" s="9">
        <f ca="1">IFERROR(__xludf.DUMMYFUNCTION("""COMPUTED_VALUE"""),844.8)</f>
        <v>844.8</v>
      </c>
      <c r="Y81" s="9"/>
      <c r="Z81" s="9"/>
      <c r="AA81" s="9"/>
      <c r="AB81" s="9"/>
      <c r="AC81" s="9"/>
      <c r="AD81" s="20" t="str">
        <f ca="1">IFERROR(__xludf.DUMMYFUNCTION("""COMPUTED_VALUE"""),"NO")</f>
        <v>NO</v>
      </c>
      <c r="AE81" s="10"/>
      <c r="AF81" s="11"/>
      <c r="AG81" s="11"/>
      <c r="AH81" s="11"/>
      <c r="AI81" s="11"/>
      <c r="AJ81" s="2"/>
    </row>
    <row r="82" spans="1:36" ht="14.4" customHeight="1" x14ac:dyDescent="0.25">
      <c r="A82" s="9">
        <f ca="1">IFERROR(__xludf.DUMMYFUNCTION("""COMPUTED_VALUE"""),81)</f>
        <v>81</v>
      </c>
      <c r="B82" s="9"/>
      <c r="C82" s="9"/>
      <c r="D82" s="9" t="str">
        <f ca="1">IFERROR(__xludf.DUMMYFUNCTION("""COMPUTED_VALUE"""),"23/08/2024")</f>
        <v>23/08/2024</v>
      </c>
      <c r="E82" s="23" t="s">
        <v>0</v>
      </c>
      <c r="F82" s="9" t="str">
        <f ca="1">IFERROR(__xludf.DUMMYFUNCTION("""COMPUTED_VALUE"""),"Deshmukh, Nimrata")</f>
        <v>Deshmukh, Nimrata</v>
      </c>
      <c r="G82" s="9" t="str">
        <f ca="1">IFERROR(__xludf.DUMMYFUNCTION("""COMPUTED_VALUE"""),"IND")</f>
        <v>IND</v>
      </c>
      <c r="H82" s="9"/>
      <c r="I82" s="9"/>
      <c r="J82" s="9">
        <f ca="1">IFERROR(__xludf.DUMMYFUNCTION("""COMPUTED_VALUE"""),100)</f>
        <v>100</v>
      </c>
      <c r="K82" s="9"/>
      <c r="L82" s="9"/>
      <c r="M82" s="9" t="str">
        <f ca="1">IFERROR(__xludf.DUMMYFUNCTION("""COMPUTED_VALUE"""),"Garuda Ajka BSK")</f>
        <v>Garuda Ajka BSK</v>
      </c>
      <c r="N82" s="9" t="str">
        <f ca="1">IFERROR(__xludf.DUMMYFUNCTION("""COMPUTED_VALUE"""),"HUN")</f>
        <v>HUN</v>
      </c>
      <c r="O82" s="9" t="str">
        <f ca="1">IFERROR(__xludf.DUMMYFUNCTION("""COMPUTED_VALUE"""),"Terme")</f>
        <v>Terme</v>
      </c>
      <c r="P82" s="9" t="str">
        <f ca="1">IFERROR(__xludf.DUMMYFUNCTION("""COMPUTED_VALUE"""),"Double")</f>
        <v>Double</v>
      </c>
      <c r="Q82" s="9" t="str">
        <f ca="1">IFERROR(__xludf.DUMMYFUNCTION("""COMPUTED_VALUE"""),"Divya Deshmukh")</f>
        <v>Divya Deshmukh</v>
      </c>
      <c r="R82" s="9">
        <f ca="1">IFERROR(__xludf.DUMMYFUNCTION("""COMPUTED_VALUE"""),82)</f>
        <v>82</v>
      </c>
      <c r="S82" s="9" t="str">
        <f ca="1">IFERROR(__xludf.DUMMYFUNCTION("""COMPUTED_VALUE"""),"19/10/2024")</f>
        <v>19/10/2024</v>
      </c>
      <c r="T82" s="9" t="str">
        <f ca="1">IFERROR(__xludf.DUMMYFUNCTION("""COMPUTED_VALUE"""),"27/10/2024")</f>
        <v>27/10/2024</v>
      </c>
      <c r="U82" s="9">
        <f ca="1">IFERROR(__xludf.DUMMYFUNCTION("""COMPUTED_VALUE"""),8)</f>
        <v>8</v>
      </c>
      <c r="V82" s="9">
        <f ca="1">IFERROR(__xludf.DUMMYFUNCTION("""COMPUTED_VALUE"""),656)</f>
        <v>656</v>
      </c>
      <c r="W82" s="9">
        <f ca="1">IFERROR(__xludf.DUMMYFUNCTION("""COMPUTED_VALUE"""),12.8)</f>
        <v>12.8</v>
      </c>
      <c r="X82" s="9">
        <f ca="1">IFERROR(__xludf.DUMMYFUNCTION("""COMPUTED_VALUE"""),668.8)</f>
        <v>668.8</v>
      </c>
      <c r="Y82" s="9"/>
      <c r="Z82" s="9"/>
      <c r="AA82" s="9"/>
      <c r="AB82" s="9" t="str">
        <f ca="1">IFERROR(__xludf.DUMMYFUNCTION("""COMPUTED_VALUE"""),"Canceled")</f>
        <v>Canceled</v>
      </c>
      <c r="AC82" s="9"/>
      <c r="AD82" s="20" t="str">
        <f ca="1">IFERROR(__xludf.DUMMYFUNCTION("""COMPUTED_VALUE"""),"NO")</f>
        <v>NO</v>
      </c>
      <c r="AE82" s="10"/>
      <c r="AF82" s="11"/>
      <c r="AG82" s="11"/>
      <c r="AH82" s="11"/>
      <c r="AI82" s="11"/>
      <c r="AJ82" s="2"/>
    </row>
    <row r="83" spans="1:36" ht="14.4" customHeight="1" x14ac:dyDescent="0.25">
      <c r="A83" s="9">
        <f ca="1">IFERROR(__xludf.DUMMYFUNCTION("""COMPUTED_VALUE"""),82)</f>
        <v>82</v>
      </c>
      <c r="B83" s="9"/>
      <c r="C83" s="9"/>
      <c r="D83" s="9" t="str">
        <f ca="1">IFERROR(__xludf.DUMMYFUNCTION("""COMPUTED_VALUE"""),"23/08/2024")</f>
        <v>23/08/2024</v>
      </c>
      <c r="E83" s="23" t="str">
        <f ca="1">IFERROR(__xludf.DUMMYFUNCTION("""COMPUTED_VALUE"""),"Player")</f>
        <v>Player</v>
      </c>
      <c r="F83" s="9" t="str">
        <f ca="1">IFERROR(__xludf.DUMMYFUNCTION("""COMPUTED_VALUE"""),"Navrotescu, Andreea")</f>
        <v>Navrotescu, Andreea</v>
      </c>
      <c r="G83" s="9" t="str">
        <f ca="1">IFERROR(__xludf.DUMMYFUNCTION("""COMPUTED_VALUE"""),"FRA")</f>
        <v>FRA</v>
      </c>
      <c r="H83" s="9" t="str">
        <f ca="1">IFERROR(__xludf.DUMMYFUNCTION("""COMPUTED_VALUE"""),"WGM")</f>
        <v>WGM</v>
      </c>
      <c r="I83" s="9"/>
      <c r="J83" s="9">
        <f ca="1">IFERROR(__xludf.DUMMYFUNCTION("""COMPUTED_VALUE"""),100)</f>
        <v>100</v>
      </c>
      <c r="K83" s="9"/>
      <c r="L83" s="9"/>
      <c r="M83" s="9" t="str">
        <f ca="1">IFERROR(__xludf.DUMMYFUNCTION("""COMPUTED_VALUE"""),"SK JAVES Modra")</f>
        <v>SK JAVES Modra</v>
      </c>
      <c r="N83" s="9" t="str">
        <f ca="1">IFERROR(__xludf.DUMMYFUNCTION("""COMPUTED_VALUE"""),"SVK")</f>
        <v>SVK</v>
      </c>
      <c r="O83" s="9" t="str">
        <f ca="1">IFERROR(__xludf.DUMMYFUNCTION("""COMPUTED_VALUE"""),"Zepter")</f>
        <v>Zepter</v>
      </c>
      <c r="P83" s="9" t="str">
        <f ca="1">IFERROR(__xludf.DUMMYFUNCTION("""COMPUTED_VALUE"""),"Double")</f>
        <v>Double</v>
      </c>
      <c r="Q83" s="9"/>
      <c r="R83" s="9"/>
      <c r="S83" s="9" t="str">
        <f ca="1">IFERROR(__xludf.DUMMYFUNCTION("""COMPUTED_VALUE"""),"29/10/2024")</f>
        <v>29/10/2024</v>
      </c>
      <c r="T83" s="9" t="str">
        <f ca="1">IFERROR(__xludf.DUMMYFUNCTION("""COMPUTED_VALUE"""),"26/10/2024")</f>
        <v>26/10/2024</v>
      </c>
      <c r="U83" s="9">
        <f ca="1">IFERROR(__xludf.DUMMYFUNCTION("""COMPUTED_VALUE"""),7)</f>
        <v>7</v>
      </c>
      <c r="V83" s="9">
        <f ca="1">IFERROR(__xludf.DUMMYFUNCTION("""COMPUTED_VALUE"""),0)</f>
        <v>0</v>
      </c>
      <c r="W83" s="9">
        <f ca="1">IFERROR(__xludf.DUMMYFUNCTION("""COMPUTED_VALUE"""),11.2)</f>
        <v>11.2</v>
      </c>
      <c r="X83" s="9">
        <f ca="1">IFERROR(__xludf.DUMMYFUNCTION("""COMPUTED_VALUE"""),11.2)</f>
        <v>11.2</v>
      </c>
      <c r="Y83" s="9"/>
      <c r="Z83" s="9"/>
      <c r="AA83" s="9"/>
      <c r="AB83" s="9"/>
      <c r="AC83" s="9"/>
      <c r="AD83" s="20" t="str">
        <f ca="1">IFERROR(__xludf.DUMMYFUNCTION("""COMPUTED_VALUE"""),"YES")</f>
        <v>YES</v>
      </c>
      <c r="AE83" s="10" t="str">
        <f ca="1">IFERROR(__xludf.DUMMYFUNCTION("""COMPUTED_VALUE"""),"Beograd")</f>
        <v>Beograd</v>
      </c>
      <c r="AF83" s="11" t="str">
        <f ca="1">IFERROR(__xludf.DUMMYFUNCTION("""COMPUTED_VALUE"""),"LX 1417")</f>
        <v>LX 1417</v>
      </c>
      <c r="AG83" s="11" t="str">
        <f ca="1">IFERROR(__xludf.DUMMYFUNCTION("""COMPUTED_VALUE"""),"27/10/2024")</f>
        <v>27/10/2024</v>
      </c>
      <c r="AH83" s="12">
        <f ca="1">IFERROR(__xludf.DUMMYFUNCTION("""COMPUTED_VALUE"""),0.607638888888888)</f>
        <v>0.60763888888888795</v>
      </c>
      <c r="AI83" s="11"/>
      <c r="AJ83" s="2" t="str">
        <f ca="1">IFERROR(__xludf.DUMMYFUNCTION("""COMPUTED_VALUE"""),"NOVO")</f>
        <v>NOVO</v>
      </c>
    </row>
    <row r="84" spans="1:36" ht="14.4" customHeight="1" x14ac:dyDescent="0.25">
      <c r="A84" s="9">
        <f ca="1">IFERROR(__xludf.DUMMYFUNCTION("""COMPUTED_VALUE"""),83)</f>
        <v>83</v>
      </c>
      <c r="B84" s="9"/>
      <c r="C84" s="9"/>
      <c r="D84" s="9" t="str">
        <f ca="1">IFERROR(__xludf.DUMMYFUNCTION("""COMPUTED_VALUE"""),"23/08/2024")</f>
        <v>23/08/2024</v>
      </c>
      <c r="E84" s="23" t="str">
        <f ca="1">IFERROR(__xludf.DUMMYFUNCTION("""COMPUTED_VALUE"""),"Player")</f>
        <v>Player</v>
      </c>
      <c r="F84" s="9" t="str">
        <f ca="1">IFERROR(__xludf.DUMMYFUNCTION("""COMPUTED_VALUE"""),"Rakhmangulova, Anastasiya")</f>
        <v>Rakhmangulova, Anastasiya</v>
      </c>
      <c r="G84" s="9" t="str">
        <f ca="1">IFERROR(__xludf.DUMMYFUNCTION("""COMPUTED_VALUE"""),"UKR")</f>
        <v>UKR</v>
      </c>
      <c r="H84" s="9" t="str">
        <f ca="1">IFERROR(__xludf.DUMMYFUNCTION("""COMPUTED_VALUE"""),"WGM")</f>
        <v>WGM</v>
      </c>
      <c r="I84" s="9"/>
      <c r="J84" s="9">
        <f ca="1">IFERROR(__xludf.DUMMYFUNCTION("""COMPUTED_VALUE"""),100)</f>
        <v>100</v>
      </c>
      <c r="K84" s="9"/>
      <c r="L84" s="9"/>
      <c r="M84" s="9" t="str">
        <f ca="1">IFERROR(__xludf.DUMMYFUNCTION("""COMPUTED_VALUE"""),"SK JAVES Modra")</f>
        <v>SK JAVES Modra</v>
      </c>
      <c r="N84" s="9" t="str">
        <f ca="1">IFERROR(__xludf.DUMMYFUNCTION("""COMPUTED_VALUE"""),"SVK")</f>
        <v>SVK</v>
      </c>
      <c r="O84" s="9" t="str">
        <f ca="1">IFERROR(__xludf.DUMMYFUNCTION("""COMPUTED_VALUE"""),"Zepter")</f>
        <v>Zepter</v>
      </c>
      <c r="P84" s="9" t="str">
        <f ca="1">IFERROR(__xludf.DUMMYFUNCTION("""COMPUTED_VALUE"""),"Double")</f>
        <v>Double</v>
      </c>
      <c r="Q84" s="9"/>
      <c r="R84" s="9"/>
      <c r="S84" s="9" t="str">
        <f ca="1">IFERROR(__xludf.DUMMYFUNCTION("""COMPUTED_VALUE"""),"29/10/2024")</f>
        <v>29/10/2024</v>
      </c>
      <c r="T84" s="9" t="str">
        <f ca="1">IFERROR(__xludf.DUMMYFUNCTION("""COMPUTED_VALUE"""),"26/10/2024")</f>
        <v>26/10/2024</v>
      </c>
      <c r="U84" s="9">
        <f ca="1">IFERROR(__xludf.DUMMYFUNCTION("""COMPUTED_VALUE"""),7)</f>
        <v>7</v>
      </c>
      <c r="V84" s="9">
        <f ca="1">IFERROR(__xludf.DUMMYFUNCTION("""COMPUTED_VALUE"""),0)</f>
        <v>0</v>
      </c>
      <c r="W84" s="9">
        <f ca="1">IFERROR(__xludf.DUMMYFUNCTION("""COMPUTED_VALUE"""),11.2)</f>
        <v>11.2</v>
      </c>
      <c r="X84" s="9">
        <f ca="1">IFERROR(__xludf.DUMMYFUNCTION("""COMPUTED_VALUE"""),11.2)</f>
        <v>11.2</v>
      </c>
      <c r="Y84" s="9"/>
      <c r="Z84" s="9"/>
      <c r="AA84" s="9"/>
      <c r="AB84" s="9"/>
      <c r="AC84" s="9"/>
      <c r="AD84" s="20" t="str">
        <f ca="1">IFERROR(__xludf.DUMMYFUNCTION("""COMPUTED_VALUE"""),"YES")</f>
        <v>YES</v>
      </c>
      <c r="AE84" s="10" t="str">
        <f ca="1">IFERROR(__xludf.DUMMYFUNCTION("""COMPUTED_VALUE"""),"Beograd")</f>
        <v>Beograd</v>
      </c>
      <c r="AF84" s="11" t="str">
        <f ca="1">IFERROR(__xludf.DUMMYFUNCTION("""COMPUTED_VALUE"""),"JU 102")</f>
        <v>JU 102</v>
      </c>
      <c r="AG84" s="11" t="str">
        <f ca="1">IFERROR(__xludf.DUMMYFUNCTION("""COMPUTED_VALUE"""),"27/10/2024")</f>
        <v>27/10/2024</v>
      </c>
      <c r="AH84" s="12">
        <f ca="1">IFERROR(__xludf.DUMMYFUNCTION("""COMPUTED_VALUE"""),0.548611111111111)</f>
        <v>0.54861111111111105</v>
      </c>
      <c r="AI84" s="11"/>
      <c r="AJ84" s="2" t="str">
        <f ca="1">IFERROR(__xludf.DUMMYFUNCTION("""COMPUTED_VALUE"""),"NOVO")</f>
        <v>NOVO</v>
      </c>
    </row>
    <row r="85" spans="1:36" ht="14.4" customHeight="1" x14ac:dyDescent="0.25">
      <c r="A85" s="9">
        <f ca="1">IFERROR(__xludf.DUMMYFUNCTION("""COMPUTED_VALUE"""),84)</f>
        <v>84</v>
      </c>
      <c r="B85" s="9"/>
      <c r="C85" s="9"/>
      <c r="D85" s="9" t="str">
        <f ca="1">IFERROR(__xludf.DUMMYFUNCTION("""COMPUTED_VALUE"""),"23/08/2024")</f>
        <v>23/08/2024</v>
      </c>
      <c r="E85" s="23" t="str">
        <f ca="1">IFERROR(__xludf.DUMMYFUNCTION("""COMPUTED_VALUE"""),"Player")</f>
        <v>Player</v>
      </c>
      <c r="F85" s="9" t="str">
        <f ca="1">IFERROR(__xludf.DUMMYFUNCTION("""COMPUTED_VALUE"""),"Ivekovic, Tihana")</f>
        <v>Ivekovic, Tihana</v>
      </c>
      <c r="G85" s="9" t="str">
        <f ca="1">IFERROR(__xludf.DUMMYFUNCTION("""COMPUTED_VALUE"""),"CRO")</f>
        <v>CRO</v>
      </c>
      <c r="H85" s="9" t="str">
        <f ca="1">IFERROR(__xludf.DUMMYFUNCTION("""COMPUTED_VALUE"""),"WFM")</f>
        <v>WFM</v>
      </c>
      <c r="I85" s="9"/>
      <c r="J85" s="9">
        <f ca="1">IFERROR(__xludf.DUMMYFUNCTION("""COMPUTED_VALUE"""),100)</f>
        <v>100</v>
      </c>
      <c r="K85" s="9"/>
      <c r="L85" s="9"/>
      <c r="M85" s="9" t="str">
        <f ca="1">IFERROR(__xludf.DUMMYFUNCTION("""COMPUTED_VALUE"""),"SK JAVES Modra")</f>
        <v>SK JAVES Modra</v>
      </c>
      <c r="N85" s="9" t="str">
        <f ca="1">IFERROR(__xludf.DUMMYFUNCTION("""COMPUTED_VALUE"""),"SVK")</f>
        <v>SVK</v>
      </c>
      <c r="O85" s="9" t="str">
        <f ca="1">IFERROR(__xludf.DUMMYFUNCTION("""COMPUTED_VALUE"""),"Zepter")</f>
        <v>Zepter</v>
      </c>
      <c r="P85" s="9" t="str">
        <f ca="1">IFERROR(__xludf.DUMMYFUNCTION("""COMPUTED_VALUE"""),"Double")</f>
        <v>Double</v>
      </c>
      <c r="Q85" s="9"/>
      <c r="R85" s="9"/>
      <c r="S85" s="9" t="str">
        <f ca="1">IFERROR(__xludf.DUMMYFUNCTION("""COMPUTED_VALUE"""),"29/10/2024")</f>
        <v>29/10/2024</v>
      </c>
      <c r="T85" s="9" t="str">
        <f ca="1">IFERROR(__xludf.DUMMYFUNCTION("""COMPUTED_VALUE"""),"26/10/2024")</f>
        <v>26/10/2024</v>
      </c>
      <c r="U85" s="9">
        <f ca="1">IFERROR(__xludf.DUMMYFUNCTION("""COMPUTED_VALUE"""),7)</f>
        <v>7</v>
      </c>
      <c r="V85" s="9">
        <f ca="1">IFERROR(__xludf.DUMMYFUNCTION("""COMPUTED_VALUE"""),0)</f>
        <v>0</v>
      </c>
      <c r="W85" s="9">
        <f ca="1">IFERROR(__xludf.DUMMYFUNCTION("""COMPUTED_VALUE"""),11.2)</f>
        <v>11.2</v>
      </c>
      <c r="X85" s="9">
        <f ca="1">IFERROR(__xludf.DUMMYFUNCTION("""COMPUTED_VALUE"""),11.2)</f>
        <v>11.2</v>
      </c>
      <c r="Y85" s="9"/>
      <c r="Z85" s="9"/>
      <c r="AA85" s="9"/>
      <c r="AB85" s="9"/>
      <c r="AC85" s="9"/>
      <c r="AD85" s="20"/>
      <c r="AE85" s="10"/>
      <c r="AF85" s="11"/>
      <c r="AG85" s="11"/>
      <c r="AH85" s="11"/>
      <c r="AI85" s="11"/>
      <c r="AJ85" s="2"/>
    </row>
    <row r="86" spans="1:36" ht="14.4" customHeight="1" x14ac:dyDescent="0.25">
      <c r="A86" s="9">
        <f ca="1">IFERROR(__xludf.DUMMYFUNCTION("""COMPUTED_VALUE"""),85)</f>
        <v>85</v>
      </c>
      <c r="B86" s="9"/>
      <c r="C86" s="9"/>
      <c r="D86" s="9" t="str">
        <f ca="1">IFERROR(__xludf.DUMMYFUNCTION("""COMPUTED_VALUE"""),"23/08/2024")</f>
        <v>23/08/2024</v>
      </c>
      <c r="E86" s="23" t="str">
        <f ca="1">IFERROR(__xludf.DUMMYFUNCTION("""COMPUTED_VALUE"""),"Player")</f>
        <v>Player</v>
      </c>
      <c r="F86" s="9" t="str">
        <f ca="1">IFERROR(__xludf.DUMMYFUNCTION("""COMPUTED_VALUE"""),"Walter, Ema")</f>
        <v>Walter, Ema</v>
      </c>
      <c r="G86" s="9" t="str">
        <f ca="1">IFERROR(__xludf.DUMMYFUNCTION("""COMPUTED_VALUE"""),"SVK")</f>
        <v>SVK</v>
      </c>
      <c r="H86" s="9" t="str">
        <f ca="1">IFERROR(__xludf.DUMMYFUNCTION("""COMPUTED_VALUE"""),"WFM")</f>
        <v>WFM</v>
      </c>
      <c r="I86" s="9"/>
      <c r="J86" s="9">
        <f ca="1">IFERROR(__xludf.DUMMYFUNCTION("""COMPUTED_VALUE"""),100)</f>
        <v>100</v>
      </c>
      <c r="K86" s="9"/>
      <c r="L86" s="9"/>
      <c r="M86" s="9" t="str">
        <f ca="1">IFERROR(__xludf.DUMMYFUNCTION("""COMPUTED_VALUE"""),"SK JAVES Modra")</f>
        <v>SK JAVES Modra</v>
      </c>
      <c r="N86" s="9" t="str">
        <f ca="1">IFERROR(__xludf.DUMMYFUNCTION("""COMPUTED_VALUE"""),"SVK")</f>
        <v>SVK</v>
      </c>
      <c r="O86" s="9" t="str">
        <f ca="1">IFERROR(__xludf.DUMMYFUNCTION("""COMPUTED_VALUE"""),"Zepter")</f>
        <v>Zepter</v>
      </c>
      <c r="P86" s="9" t="str">
        <f ca="1">IFERROR(__xludf.DUMMYFUNCTION("""COMPUTED_VALUE"""),"Double")</f>
        <v>Double</v>
      </c>
      <c r="Q86" s="9"/>
      <c r="R86" s="9"/>
      <c r="S86" s="9" t="str">
        <f ca="1">IFERROR(__xludf.DUMMYFUNCTION("""COMPUTED_VALUE"""),"29/10/2024")</f>
        <v>29/10/2024</v>
      </c>
      <c r="T86" s="9" t="str">
        <f ca="1">IFERROR(__xludf.DUMMYFUNCTION("""COMPUTED_VALUE"""),"26/10/2024")</f>
        <v>26/10/2024</v>
      </c>
      <c r="U86" s="9">
        <f ca="1">IFERROR(__xludf.DUMMYFUNCTION("""COMPUTED_VALUE"""),7)</f>
        <v>7</v>
      </c>
      <c r="V86" s="9">
        <f ca="1">IFERROR(__xludf.DUMMYFUNCTION("""COMPUTED_VALUE"""),0)</f>
        <v>0</v>
      </c>
      <c r="W86" s="9">
        <f ca="1">IFERROR(__xludf.DUMMYFUNCTION("""COMPUTED_VALUE"""),11.2)</f>
        <v>11.2</v>
      </c>
      <c r="X86" s="9">
        <f ca="1">IFERROR(__xludf.DUMMYFUNCTION("""COMPUTED_VALUE"""),11.2)</f>
        <v>11.2</v>
      </c>
      <c r="Y86" s="9"/>
      <c r="Z86" s="9"/>
      <c r="AA86" s="9"/>
      <c r="AB86" s="9"/>
      <c r="AC86" s="9"/>
      <c r="AD86" s="20"/>
      <c r="AE86" s="10"/>
      <c r="AF86" s="11"/>
      <c r="AG86" s="11"/>
      <c r="AH86" s="11"/>
      <c r="AI86" s="11"/>
      <c r="AJ86" s="2"/>
    </row>
    <row r="87" spans="1:36" ht="14.4" customHeight="1" x14ac:dyDescent="0.25">
      <c r="A87" s="9">
        <f ca="1">IFERROR(__xludf.DUMMYFUNCTION("""COMPUTED_VALUE"""),86)</f>
        <v>86</v>
      </c>
      <c r="B87" s="9"/>
      <c r="C87" s="9"/>
      <c r="D87" s="9" t="str">
        <f ca="1">IFERROR(__xludf.DUMMYFUNCTION("""COMPUTED_VALUE"""),"23/08/2024")</f>
        <v>23/08/2024</v>
      </c>
      <c r="E87" s="23" t="str">
        <f ca="1">IFERROR(__xludf.DUMMYFUNCTION("""COMPUTED_VALUE"""),"Player")</f>
        <v>Player</v>
      </c>
      <c r="F87" s="9" t="str">
        <f ca="1">IFERROR(__xludf.DUMMYFUNCTION("""COMPUTED_VALUE"""),"Popovic, Mateja")</f>
        <v>Popovic, Mateja</v>
      </c>
      <c r="G87" s="9" t="str">
        <f ca="1">IFERROR(__xludf.DUMMYFUNCTION("""COMPUTED_VALUE"""),"MNE")</f>
        <v>MNE</v>
      </c>
      <c r="H87" s="9"/>
      <c r="I87" s="9"/>
      <c r="J87" s="9">
        <f ca="1">IFERROR(__xludf.DUMMYFUNCTION("""COMPUTED_VALUE"""),100)</f>
        <v>100</v>
      </c>
      <c r="K87" s="9"/>
      <c r="L87" s="9"/>
      <c r="M87" s="9" t="str">
        <f ca="1">IFERROR(__xludf.DUMMYFUNCTION("""COMPUTED_VALUE"""),"Herceg Novi 1949")</f>
        <v>Herceg Novi 1949</v>
      </c>
      <c r="N87" s="9" t="str">
        <f ca="1">IFERROR(__xludf.DUMMYFUNCTION("""COMPUTED_VALUE"""),"MNE")</f>
        <v>MNE</v>
      </c>
      <c r="O87" s="9" t="str">
        <f ca="1">IFERROR(__xludf.DUMMYFUNCTION("""COMPUTED_VALUE"""),"Breza")</f>
        <v>Breza</v>
      </c>
      <c r="P87" s="9" t="str">
        <f ca="1">IFERROR(__xludf.DUMMYFUNCTION("""COMPUTED_VALUE"""),"Double")</f>
        <v>Double</v>
      </c>
      <c r="Q87" s="9" t="str">
        <f ca="1">IFERROR(__xludf.DUMMYFUNCTION("""COMPUTED_VALUE"""),"Stankovic")</f>
        <v>Stankovic</v>
      </c>
      <c r="R87" s="9">
        <f ca="1">IFERROR(__xludf.DUMMYFUNCTION("""COMPUTED_VALUE"""),67)</f>
        <v>67</v>
      </c>
      <c r="S87" s="9" t="str">
        <f ca="1">IFERROR(__xludf.DUMMYFUNCTION("""COMPUTED_VALUE"""),"20/10/2024")</f>
        <v>20/10/2024</v>
      </c>
      <c r="T87" s="9" t="str">
        <f ca="1">IFERROR(__xludf.DUMMYFUNCTION("""COMPUTED_VALUE"""),"26/10/2024")</f>
        <v>26/10/2024</v>
      </c>
      <c r="U87" s="9">
        <f ca="1">IFERROR(__xludf.DUMMYFUNCTION("""COMPUTED_VALUE"""),6)</f>
        <v>6</v>
      </c>
      <c r="V87" s="9">
        <f ca="1">IFERROR(__xludf.DUMMYFUNCTION("""COMPUTED_VALUE"""),402)</f>
        <v>402</v>
      </c>
      <c r="W87" s="9">
        <f ca="1">IFERROR(__xludf.DUMMYFUNCTION("""COMPUTED_VALUE"""),9.6)</f>
        <v>9.6</v>
      </c>
      <c r="X87" s="9">
        <f ca="1">IFERROR(__xludf.DUMMYFUNCTION("""COMPUTED_VALUE"""),411.6)</f>
        <v>411.6</v>
      </c>
      <c r="Y87" s="9"/>
      <c r="Z87" s="9"/>
      <c r="AA87" s="9"/>
      <c r="AB87" s="9" t="str">
        <f ca="1">IFERROR(__xludf.DUMMYFUNCTION("""COMPUTED_VALUE"""),"uracunati popust 10%")</f>
        <v>uracunati popust 10%</v>
      </c>
      <c r="AC87" s="9"/>
      <c r="AD87" s="20" t="str">
        <f ca="1">IFERROR(__xludf.DUMMYFUNCTION("""COMPUTED_VALUE"""),"NO")</f>
        <v>NO</v>
      </c>
      <c r="AE87" s="10"/>
      <c r="AF87" s="11"/>
      <c r="AG87" s="11"/>
      <c r="AH87" s="11"/>
      <c r="AI87" s="11"/>
      <c r="AJ87" s="2"/>
    </row>
    <row r="88" spans="1:36" ht="14.4" customHeight="1" x14ac:dyDescent="0.25">
      <c r="A88" s="9">
        <f ca="1">IFERROR(__xludf.DUMMYFUNCTION("""COMPUTED_VALUE"""),87)</f>
        <v>87</v>
      </c>
      <c r="B88" s="9"/>
      <c r="C88" s="9"/>
      <c r="D88" s="9" t="str">
        <f ca="1">IFERROR(__xludf.DUMMYFUNCTION("""COMPUTED_VALUE"""),"23/08/2024")</f>
        <v>23/08/2024</v>
      </c>
      <c r="E88" s="23" t="str">
        <f ca="1">IFERROR(__xludf.DUMMYFUNCTION("""COMPUTED_VALUE"""),"Player")</f>
        <v>Player</v>
      </c>
      <c r="F88" s="9" t="str">
        <f ca="1">IFERROR(__xludf.DUMMYFUNCTION("""COMPUTED_VALUE"""),"Tomin, Ksenija")</f>
        <v>Tomin, Ksenija</v>
      </c>
      <c r="G88" s="9" t="str">
        <f ca="1">IFERROR(__xludf.DUMMYFUNCTION("""COMPUTED_VALUE"""),"SRB")</f>
        <v>SRB</v>
      </c>
      <c r="H88" s="9" t="str">
        <f ca="1">IFERROR(__xludf.DUMMYFUNCTION("""COMPUTED_VALUE"""),"WCM")</f>
        <v>WCM</v>
      </c>
      <c r="I88" s="9"/>
      <c r="J88" s="9">
        <f ca="1">IFERROR(__xludf.DUMMYFUNCTION("""COMPUTED_VALUE"""),100)</f>
        <v>100</v>
      </c>
      <c r="K88" s="9"/>
      <c r="L88" s="9"/>
      <c r="M88" s="9" t="str">
        <f ca="1">IFERROR(__xludf.DUMMYFUNCTION("""COMPUTED_VALUE"""),"Herceg Novi 1949")</f>
        <v>Herceg Novi 1949</v>
      </c>
      <c r="N88" s="9" t="str">
        <f ca="1">IFERROR(__xludf.DUMMYFUNCTION("""COMPUTED_VALUE"""),"MNE")</f>
        <v>MNE</v>
      </c>
      <c r="O88" s="9" t="str">
        <f ca="1">IFERROR(__xludf.DUMMYFUNCTION("""COMPUTED_VALUE"""),"Breza")</f>
        <v>Breza</v>
      </c>
      <c r="P88" s="9" t="str">
        <f ca="1">IFERROR(__xludf.DUMMYFUNCTION("""COMPUTED_VALUE"""),"Double")</f>
        <v>Double</v>
      </c>
      <c r="Q88" s="9" t="str">
        <f ca="1">IFERROR(__xludf.DUMMYFUNCTION("""COMPUTED_VALUE"""),"Kovacevi")</f>
        <v>Kovacevi</v>
      </c>
      <c r="R88" s="9">
        <f ca="1">IFERROR(__xludf.DUMMYFUNCTION("""COMPUTED_VALUE"""),67)</f>
        <v>67</v>
      </c>
      <c r="S88" s="9" t="str">
        <f ca="1">IFERROR(__xludf.DUMMYFUNCTION("""COMPUTED_VALUE"""),"20/10/2024")</f>
        <v>20/10/2024</v>
      </c>
      <c r="T88" s="9" t="str">
        <f ca="1">IFERROR(__xludf.DUMMYFUNCTION("""COMPUTED_VALUE"""),"26/10/2024")</f>
        <v>26/10/2024</v>
      </c>
      <c r="U88" s="9">
        <f ca="1">IFERROR(__xludf.DUMMYFUNCTION("""COMPUTED_VALUE"""),6)</f>
        <v>6</v>
      </c>
      <c r="V88" s="9">
        <f ca="1">IFERROR(__xludf.DUMMYFUNCTION("""COMPUTED_VALUE"""),402)</f>
        <v>402</v>
      </c>
      <c r="W88" s="9">
        <f ca="1">IFERROR(__xludf.DUMMYFUNCTION("""COMPUTED_VALUE"""),9.6)</f>
        <v>9.6</v>
      </c>
      <c r="X88" s="9">
        <f ca="1">IFERROR(__xludf.DUMMYFUNCTION("""COMPUTED_VALUE"""),411.6)</f>
        <v>411.6</v>
      </c>
      <c r="Y88" s="9"/>
      <c r="Z88" s="9"/>
      <c r="AA88" s="9"/>
      <c r="AB88" s="9" t="str">
        <f ca="1">IFERROR(__xludf.DUMMYFUNCTION("""COMPUTED_VALUE"""),"uracunati popust 10%")</f>
        <v>uracunati popust 10%</v>
      </c>
      <c r="AC88" s="9"/>
      <c r="AD88" s="20" t="str">
        <f ca="1">IFERROR(__xludf.DUMMYFUNCTION("""COMPUTED_VALUE"""),"NO")</f>
        <v>NO</v>
      </c>
      <c r="AE88" s="10"/>
      <c r="AF88" s="11"/>
      <c r="AG88" s="11"/>
      <c r="AH88" s="11"/>
      <c r="AI88" s="11"/>
      <c r="AJ88" s="2"/>
    </row>
    <row r="89" spans="1:36" ht="14.4" customHeight="1" x14ac:dyDescent="0.25">
      <c r="A89" s="9">
        <f ca="1">IFERROR(__xludf.DUMMYFUNCTION("""COMPUTED_VALUE"""),88)</f>
        <v>88</v>
      </c>
      <c r="B89" s="9"/>
      <c r="C89" s="9"/>
      <c r="D89" s="9" t="str">
        <f ca="1">IFERROR(__xludf.DUMMYFUNCTION("""COMPUTED_VALUE"""),"23/08/2024")</f>
        <v>23/08/2024</v>
      </c>
      <c r="E89" s="23" t="str">
        <f ca="1">IFERROR(__xludf.DUMMYFUNCTION("""COMPUTED_VALUE"""),"Player")</f>
        <v>Player</v>
      </c>
      <c r="F89" s="9" t="str">
        <f ca="1">IFERROR(__xludf.DUMMYFUNCTION("""COMPUTED_VALUE"""),"Kovacevic, Radmila")</f>
        <v>Kovacevic, Radmila</v>
      </c>
      <c r="G89" s="9" t="str">
        <f ca="1">IFERROR(__xludf.DUMMYFUNCTION("""COMPUTED_VALUE"""),"SRB")</f>
        <v>SRB</v>
      </c>
      <c r="H89" s="9" t="str">
        <f ca="1">IFERROR(__xludf.DUMMYFUNCTION("""COMPUTED_VALUE"""),"WFM")</f>
        <v>WFM</v>
      </c>
      <c r="I89" s="9"/>
      <c r="J89" s="9">
        <f ca="1">IFERROR(__xludf.DUMMYFUNCTION("""COMPUTED_VALUE"""),100)</f>
        <v>100</v>
      </c>
      <c r="K89" s="9"/>
      <c r="L89" s="9"/>
      <c r="M89" s="9" t="str">
        <f ca="1">IFERROR(__xludf.DUMMYFUNCTION("""COMPUTED_VALUE"""),"Herceg Novi 1949")</f>
        <v>Herceg Novi 1949</v>
      </c>
      <c r="N89" s="9" t="str">
        <f ca="1">IFERROR(__xludf.DUMMYFUNCTION("""COMPUTED_VALUE"""),"MNE")</f>
        <v>MNE</v>
      </c>
      <c r="O89" s="9" t="str">
        <f ca="1">IFERROR(__xludf.DUMMYFUNCTION("""COMPUTED_VALUE"""),"Breza")</f>
        <v>Breza</v>
      </c>
      <c r="P89" s="9" t="str">
        <f ca="1">IFERROR(__xludf.DUMMYFUNCTION("""COMPUTED_VALUE"""),"Double")</f>
        <v>Double</v>
      </c>
      <c r="Q89" s="9" t="str">
        <f ca="1">IFERROR(__xludf.DUMMYFUNCTION("""COMPUTED_VALUE"""),"Tomin")</f>
        <v>Tomin</v>
      </c>
      <c r="R89" s="9">
        <f ca="1">IFERROR(__xludf.DUMMYFUNCTION("""COMPUTED_VALUE"""),67)</f>
        <v>67</v>
      </c>
      <c r="S89" s="9" t="str">
        <f ca="1">IFERROR(__xludf.DUMMYFUNCTION("""COMPUTED_VALUE"""),"20/10/2024")</f>
        <v>20/10/2024</v>
      </c>
      <c r="T89" s="9" t="str">
        <f ca="1">IFERROR(__xludf.DUMMYFUNCTION("""COMPUTED_VALUE"""),"26/10/2024")</f>
        <v>26/10/2024</v>
      </c>
      <c r="U89" s="9">
        <f ca="1">IFERROR(__xludf.DUMMYFUNCTION("""COMPUTED_VALUE"""),6)</f>
        <v>6</v>
      </c>
      <c r="V89" s="9">
        <f ca="1">IFERROR(__xludf.DUMMYFUNCTION("""COMPUTED_VALUE"""),402)</f>
        <v>402</v>
      </c>
      <c r="W89" s="9">
        <f ca="1">IFERROR(__xludf.DUMMYFUNCTION("""COMPUTED_VALUE"""),9.6)</f>
        <v>9.6</v>
      </c>
      <c r="X89" s="9">
        <f ca="1">IFERROR(__xludf.DUMMYFUNCTION("""COMPUTED_VALUE"""),411.6)</f>
        <v>411.6</v>
      </c>
      <c r="Y89" s="9"/>
      <c r="Z89" s="9"/>
      <c r="AA89" s="9"/>
      <c r="AB89" s="9" t="str">
        <f ca="1">IFERROR(__xludf.DUMMYFUNCTION("""COMPUTED_VALUE"""),"uracunati popust 10%")</f>
        <v>uracunati popust 10%</v>
      </c>
      <c r="AC89" s="9"/>
      <c r="AD89" s="20" t="str">
        <f ca="1">IFERROR(__xludf.DUMMYFUNCTION("""COMPUTED_VALUE"""),"NO")</f>
        <v>NO</v>
      </c>
      <c r="AE89" s="10"/>
      <c r="AF89" s="11"/>
      <c r="AG89" s="11"/>
      <c r="AH89" s="11"/>
      <c r="AI89" s="11"/>
      <c r="AJ89" s="2"/>
    </row>
    <row r="90" spans="1:36" ht="14.4" customHeight="1" x14ac:dyDescent="0.25">
      <c r="A90" s="9">
        <f ca="1">IFERROR(__xludf.DUMMYFUNCTION("""COMPUTED_VALUE"""),89)</f>
        <v>89</v>
      </c>
      <c r="B90" s="9"/>
      <c r="C90" s="9" t="str">
        <f ca="1">IFERROR(__xludf.DUMMYFUNCTION("""COMPUTED_VALUE"""),"NEW PLAYER")</f>
        <v>NEW PLAYER</v>
      </c>
      <c r="D90" s="24">
        <f ca="1">IFERROR(__xludf.DUMMYFUNCTION("""COMPUTED_VALUE"""),45575)</f>
        <v>45575</v>
      </c>
      <c r="E90" s="23" t="str">
        <f ca="1">IFERROR(__xludf.DUMMYFUNCTION("""COMPUTED_VALUE"""),"Player")</f>
        <v>Player</v>
      </c>
      <c r="F90" s="9" t="str">
        <f ca="1">IFERROR(__xludf.DUMMYFUNCTION("""COMPUTED_VALUE"""),"Zherebtsova, Alexandra")</f>
        <v>Zherebtsova, Alexandra</v>
      </c>
      <c r="G90" s="9" t="str">
        <f ca="1">IFERROR(__xludf.DUMMYFUNCTION("""COMPUTED_VALUE"""),"MNE")</f>
        <v>MNE</v>
      </c>
      <c r="H90" s="9" t="str">
        <f ca="1">IFERROR(__xludf.DUMMYFUNCTION("""COMPUTED_VALUE"""),"FM")</f>
        <v>FM</v>
      </c>
      <c r="I90" s="9"/>
      <c r="J90" s="9">
        <f ca="1">IFERROR(__xludf.DUMMYFUNCTION("""COMPUTED_VALUE"""),100)</f>
        <v>100</v>
      </c>
      <c r="K90" s="9"/>
      <c r="L90" s="9"/>
      <c r="M90" s="9" t="str">
        <f ca="1">IFERROR(__xludf.DUMMYFUNCTION("""COMPUTED_VALUE"""),"Herceg Novi 1949")</f>
        <v>Herceg Novi 1949</v>
      </c>
      <c r="N90" s="9" t="str">
        <f ca="1">IFERROR(__xludf.DUMMYFUNCTION("""COMPUTED_VALUE"""),"MNE")</f>
        <v>MNE</v>
      </c>
      <c r="O90" s="9" t="str">
        <f ca="1">IFERROR(__xludf.DUMMYFUNCTION("""COMPUTED_VALUE"""),"Breza")</f>
        <v>Breza</v>
      </c>
      <c r="P90" s="9" t="str">
        <f ca="1">IFERROR(__xludf.DUMMYFUNCTION("""COMPUTED_VALUE"""),"Double")</f>
        <v>Double</v>
      </c>
      <c r="Q90" s="9"/>
      <c r="R90" s="9">
        <f ca="1">IFERROR(__xludf.DUMMYFUNCTION("""COMPUTED_VALUE"""),67)</f>
        <v>67</v>
      </c>
      <c r="S90" s="9" t="str">
        <f ca="1">IFERROR(__xludf.DUMMYFUNCTION("""COMPUTED_VALUE"""),"20/10/2024")</f>
        <v>20/10/2024</v>
      </c>
      <c r="T90" s="9" t="str">
        <f ca="1">IFERROR(__xludf.DUMMYFUNCTION("""COMPUTED_VALUE"""),"26/10/2024")</f>
        <v>26/10/2024</v>
      </c>
      <c r="U90" s="9">
        <f ca="1">IFERROR(__xludf.DUMMYFUNCTION("""COMPUTED_VALUE"""),6)</f>
        <v>6</v>
      </c>
      <c r="V90" s="9">
        <f ca="1">IFERROR(__xludf.DUMMYFUNCTION("""COMPUTED_VALUE"""),402)</f>
        <v>402</v>
      </c>
      <c r="W90" s="9">
        <f ca="1">IFERROR(__xludf.DUMMYFUNCTION("""COMPUTED_VALUE"""),9.6)</f>
        <v>9.6</v>
      </c>
      <c r="X90" s="9">
        <f ca="1">IFERROR(__xludf.DUMMYFUNCTION("""COMPUTED_VALUE"""),411.6)</f>
        <v>411.6</v>
      </c>
      <c r="Y90" s="9"/>
      <c r="Z90" s="9"/>
      <c r="AA90" s="9"/>
      <c r="AB90" s="9" t="str">
        <f ca="1">IFERROR(__xludf.DUMMYFUNCTION("""COMPUTED_VALUE"""),"uracunati popust 10%")</f>
        <v>uracunati popust 10%</v>
      </c>
      <c r="AC90" s="9"/>
      <c r="AD90" s="20"/>
      <c r="AE90" s="10"/>
      <c r="AF90" s="11"/>
      <c r="AG90" s="11"/>
      <c r="AH90" s="11"/>
      <c r="AI90" s="11"/>
      <c r="AJ90" s="2"/>
    </row>
    <row r="91" spans="1:36" ht="14.4" customHeight="1" x14ac:dyDescent="0.25">
      <c r="A91" s="9">
        <f ca="1">IFERROR(__xludf.DUMMYFUNCTION("""COMPUTED_VALUE"""),90)</f>
        <v>90</v>
      </c>
      <c r="B91" s="9"/>
      <c r="C91" s="9"/>
      <c r="D91" s="9" t="str">
        <f ca="1">IFERROR(__xludf.DUMMYFUNCTION("""COMPUTED_VALUE"""),"23/08/2024")</f>
        <v>23/08/2024</v>
      </c>
      <c r="E91" s="23" t="str">
        <f ca="1">IFERROR(__xludf.DUMMYFUNCTION("""COMPUTED_VALUE"""),"Player")</f>
        <v>Player</v>
      </c>
      <c r="F91" s="9" t="str">
        <f ca="1">IFERROR(__xludf.DUMMYFUNCTION("""COMPUTED_VALUE"""),"Stankovic, Andrea")</f>
        <v>Stankovic, Andrea</v>
      </c>
      <c r="G91" s="9" t="str">
        <f ca="1">IFERROR(__xludf.DUMMYFUNCTION("""COMPUTED_VALUE"""),"SRB")</f>
        <v>SRB</v>
      </c>
      <c r="H91" s="9"/>
      <c r="I91" s="9"/>
      <c r="J91" s="9">
        <f ca="1">IFERROR(__xludf.DUMMYFUNCTION("""COMPUTED_VALUE"""),100)</f>
        <v>100</v>
      </c>
      <c r="K91" s="9"/>
      <c r="L91" s="9"/>
      <c r="M91" s="9" t="str">
        <f ca="1">IFERROR(__xludf.DUMMYFUNCTION("""COMPUTED_VALUE"""),"Herceg Novi 1949")</f>
        <v>Herceg Novi 1949</v>
      </c>
      <c r="N91" s="9" t="str">
        <f ca="1">IFERROR(__xludf.DUMMYFUNCTION("""COMPUTED_VALUE"""),"MNE")</f>
        <v>MNE</v>
      </c>
      <c r="O91" s="9" t="str">
        <f ca="1">IFERROR(__xludf.DUMMYFUNCTION("""COMPUTED_VALUE"""),"Breza")</f>
        <v>Breza</v>
      </c>
      <c r="P91" s="9" t="str">
        <f ca="1">IFERROR(__xludf.DUMMYFUNCTION("""COMPUTED_VALUE"""),"Double")</f>
        <v>Double</v>
      </c>
      <c r="Q91" s="9" t="str">
        <f ca="1">IFERROR(__xludf.DUMMYFUNCTION("""COMPUTED_VALUE"""),"Popovic")</f>
        <v>Popovic</v>
      </c>
      <c r="R91" s="9">
        <f ca="1">IFERROR(__xludf.DUMMYFUNCTION("""COMPUTED_VALUE"""),67)</f>
        <v>67</v>
      </c>
      <c r="S91" s="9" t="str">
        <f ca="1">IFERROR(__xludf.DUMMYFUNCTION("""COMPUTED_VALUE"""),"20/10/2024")</f>
        <v>20/10/2024</v>
      </c>
      <c r="T91" s="9" t="str">
        <f ca="1">IFERROR(__xludf.DUMMYFUNCTION("""COMPUTED_VALUE"""),"26/10/2024")</f>
        <v>26/10/2024</v>
      </c>
      <c r="U91" s="9">
        <f ca="1">IFERROR(__xludf.DUMMYFUNCTION("""COMPUTED_VALUE"""),6)</f>
        <v>6</v>
      </c>
      <c r="V91" s="9">
        <f ca="1">IFERROR(__xludf.DUMMYFUNCTION("""COMPUTED_VALUE"""),402)</f>
        <v>402</v>
      </c>
      <c r="W91" s="9">
        <f ca="1">IFERROR(__xludf.DUMMYFUNCTION("""COMPUTED_VALUE"""),9.6)</f>
        <v>9.6</v>
      </c>
      <c r="X91" s="9">
        <f ca="1">IFERROR(__xludf.DUMMYFUNCTION("""COMPUTED_VALUE"""),411.6)</f>
        <v>411.6</v>
      </c>
      <c r="Y91" s="9"/>
      <c r="Z91" s="9"/>
      <c r="AA91" s="9"/>
      <c r="AB91" s="9" t="str">
        <f ca="1">IFERROR(__xludf.DUMMYFUNCTION("""COMPUTED_VALUE"""),"uracunati popust 10%")</f>
        <v>uracunati popust 10%</v>
      </c>
      <c r="AC91" s="9"/>
      <c r="AD91" s="20" t="str">
        <f ca="1">IFERROR(__xludf.DUMMYFUNCTION("""COMPUTED_VALUE"""),"NO")</f>
        <v>NO</v>
      </c>
      <c r="AE91" s="10"/>
      <c r="AF91" s="11"/>
      <c r="AG91" s="11"/>
      <c r="AH91" s="11"/>
      <c r="AI91" s="11"/>
      <c r="AJ91" s="2"/>
    </row>
    <row r="92" spans="1:36" ht="14.4" customHeight="1" x14ac:dyDescent="0.25">
      <c r="A92" s="9">
        <f ca="1">IFERROR(__xludf.DUMMYFUNCTION("""COMPUTED_VALUE"""),91)</f>
        <v>91</v>
      </c>
      <c r="B92" s="9"/>
      <c r="C92" s="9"/>
      <c r="D92" s="9" t="str">
        <f ca="1">IFERROR(__xludf.DUMMYFUNCTION("""COMPUTED_VALUE"""),"23/08/2024")</f>
        <v>23/08/2024</v>
      </c>
      <c r="E92" s="23" t="s">
        <v>0</v>
      </c>
      <c r="F92" s="9" t="str">
        <f ca="1">IFERROR(__xludf.DUMMYFUNCTION("""COMPUTED_VALUE"""),"Bubanja, Milos")</f>
        <v>Bubanja, Milos</v>
      </c>
      <c r="G92" s="9" t="str">
        <f ca="1">IFERROR(__xludf.DUMMYFUNCTION("""COMPUTED_VALUE"""),"MNE")</f>
        <v>MNE</v>
      </c>
      <c r="H92" s="9"/>
      <c r="I92" s="9"/>
      <c r="J92" s="9">
        <f ca="1">IFERROR(__xludf.DUMMYFUNCTION("""COMPUTED_VALUE"""),100)</f>
        <v>100</v>
      </c>
      <c r="K92" s="9"/>
      <c r="L92" s="9"/>
      <c r="M92" s="9" t="str">
        <f ca="1">IFERROR(__xludf.DUMMYFUNCTION("""COMPUTED_VALUE"""),"Herceg Novi 1949")</f>
        <v>Herceg Novi 1949</v>
      </c>
      <c r="N92" s="9" t="str">
        <f ca="1">IFERROR(__xludf.DUMMYFUNCTION("""COMPUTED_VALUE"""),"MNE")</f>
        <v>MNE</v>
      </c>
      <c r="O92" s="9" t="str">
        <f ca="1">IFERROR(__xludf.DUMMYFUNCTION("""COMPUTED_VALUE"""),"Breza")</f>
        <v>Breza</v>
      </c>
      <c r="P92" s="9" t="str">
        <f ca="1">IFERROR(__xludf.DUMMYFUNCTION("""COMPUTED_VALUE"""),"Double")</f>
        <v>Double</v>
      </c>
      <c r="Q92" s="9"/>
      <c r="R92" s="9">
        <f ca="1">IFERROR(__xludf.DUMMYFUNCTION("""COMPUTED_VALUE"""),67)</f>
        <v>67</v>
      </c>
      <c r="S92" s="9" t="str">
        <f ca="1">IFERROR(__xludf.DUMMYFUNCTION("""COMPUTED_VALUE"""),"20/10/2024")</f>
        <v>20/10/2024</v>
      </c>
      <c r="T92" s="9" t="str">
        <f ca="1">IFERROR(__xludf.DUMMYFUNCTION("""COMPUTED_VALUE"""),"26/10/2024")</f>
        <v>26/10/2024</v>
      </c>
      <c r="U92" s="9">
        <f ca="1">IFERROR(__xludf.DUMMYFUNCTION("""COMPUTED_VALUE"""),6)</f>
        <v>6</v>
      </c>
      <c r="V92" s="9">
        <f ca="1">IFERROR(__xludf.DUMMYFUNCTION("""COMPUTED_VALUE"""),402)</f>
        <v>402</v>
      </c>
      <c r="W92" s="9">
        <f ca="1">IFERROR(__xludf.DUMMYFUNCTION("""COMPUTED_VALUE"""),9.6)</f>
        <v>9.6</v>
      </c>
      <c r="X92" s="9">
        <f ca="1">IFERROR(__xludf.DUMMYFUNCTION("""COMPUTED_VALUE"""),411.6)</f>
        <v>411.6</v>
      </c>
      <c r="Y92" s="9"/>
      <c r="Z92" s="9"/>
      <c r="AA92" s="9"/>
      <c r="AB92" s="9" t="str">
        <f ca="1">IFERROR(__xludf.DUMMYFUNCTION("""COMPUTED_VALUE"""),"Placa Dragan Lazic ")</f>
        <v xml:space="preserve">Placa Dragan Lazic </v>
      </c>
      <c r="AC92" s="9"/>
      <c r="AD92" s="20" t="str">
        <f ca="1">IFERROR(__xludf.DUMMYFUNCTION("""COMPUTED_VALUE"""),"NO")</f>
        <v>NO</v>
      </c>
      <c r="AE92" s="10"/>
      <c r="AF92" s="11"/>
      <c r="AG92" s="11"/>
      <c r="AH92" s="11"/>
      <c r="AI92" s="11"/>
      <c r="AJ92" s="2"/>
    </row>
    <row r="93" spans="1:36" ht="14.4" customHeight="1" x14ac:dyDescent="0.25">
      <c r="A93" s="8">
        <f ca="1">IFERROR(__xludf.DUMMYFUNCTION("""COMPUTED_VALUE"""),92)</f>
        <v>92</v>
      </c>
      <c r="B93" s="8"/>
      <c r="C93" s="8"/>
      <c r="D93" s="8" t="str">
        <f ca="1">IFERROR(__xludf.DUMMYFUNCTION("""COMPUTED_VALUE"""),"28/08/2024")</f>
        <v>28/08/2024</v>
      </c>
      <c r="E93" s="16" t="str">
        <f ca="1">IFERROR(__xludf.DUMMYFUNCTION("""COMPUTED_VALUE"""),"Player")</f>
        <v>Player</v>
      </c>
      <c r="F93" s="8" t="str">
        <f ca="1">IFERROR(__xludf.DUMMYFUNCTION("""COMPUTED_VALUE"""),"Batsiashvili, Nino")</f>
        <v>Batsiashvili, Nino</v>
      </c>
      <c r="G93" s="8" t="str">
        <f ca="1">IFERROR(__xludf.DUMMYFUNCTION("""COMPUTED_VALUE"""),"GEO")</f>
        <v>GEO</v>
      </c>
      <c r="H93" s="8" t="str">
        <f ca="1">IFERROR(__xludf.DUMMYFUNCTION("""COMPUTED_VALUE"""),"GM")</f>
        <v>GM</v>
      </c>
      <c r="I93" s="8"/>
      <c r="J93" s="8">
        <f ca="1">IFERROR(__xludf.DUMMYFUNCTION("""COMPUTED_VALUE"""),100)</f>
        <v>100</v>
      </c>
      <c r="K93" s="8"/>
      <c r="L93" s="8"/>
      <c r="M93" s="8" t="str">
        <f ca="1">IFERROR(__xludf.DUMMYFUNCTION("""COMPUTED_VALUE"""),"SuperChess")</f>
        <v>SuperChess</v>
      </c>
      <c r="N93" s="8" t="str">
        <f ca="1">IFERROR(__xludf.DUMMYFUNCTION("""COMPUTED_VALUE"""),"ROU")</f>
        <v>ROU</v>
      </c>
      <c r="O93" s="8" t="str">
        <f ca="1">IFERROR(__xludf.DUMMYFUNCTION("""COMPUTED_VALUE"""),"Kocka")</f>
        <v>Kocka</v>
      </c>
      <c r="P93" s="8" t="str">
        <f ca="1">IFERROR(__xludf.DUMMYFUNCTION("""COMPUTED_VALUE"""),"Single")</f>
        <v>Single</v>
      </c>
      <c r="Q93" s="8"/>
      <c r="R93" s="8">
        <f ca="1">IFERROR(__xludf.DUMMYFUNCTION("""COMPUTED_VALUE"""),104)</f>
        <v>104</v>
      </c>
      <c r="S93" s="8" t="str">
        <f ca="1">IFERROR(__xludf.DUMMYFUNCTION("""COMPUTED_VALUE"""),"19/10/2024")</f>
        <v>19/10/2024</v>
      </c>
      <c r="T93" s="8" t="str">
        <f ca="1">IFERROR(__xludf.DUMMYFUNCTION("""COMPUTED_VALUE"""),"27/10/2024")</f>
        <v>27/10/2024</v>
      </c>
      <c r="U93" s="8">
        <f ca="1">IFERROR(__xludf.DUMMYFUNCTION("""COMPUTED_VALUE"""),8)</f>
        <v>8</v>
      </c>
      <c r="V93" s="8">
        <f ca="1">IFERROR(__xludf.DUMMYFUNCTION("""COMPUTED_VALUE"""),832)</f>
        <v>832</v>
      </c>
      <c r="W93" s="8">
        <f ca="1">IFERROR(__xludf.DUMMYFUNCTION("""COMPUTED_VALUE"""),12.8)</f>
        <v>12.8</v>
      </c>
      <c r="X93" s="8">
        <f ca="1">IFERROR(__xludf.DUMMYFUNCTION("""COMPUTED_VALUE"""),844.8)</f>
        <v>844.8</v>
      </c>
      <c r="Y93" s="8"/>
      <c r="Z93" s="8"/>
      <c r="AA93" s="8"/>
      <c r="AB93" s="8"/>
      <c r="AC93" s="8"/>
      <c r="AD93" s="20" t="str">
        <f ca="1">IFERROR(__xludf.DUMMYFUNCTION("""COMPUTED_VALUE"""),"YES")</f>
        <v>YES</v>
      </c>
      <c r="AE93" s="10" t="str">
        <f ca="1">IFERROR(__xludf.DUMMYFUNCTION("""COMPUTED_VALUE"""),"Beograd")</f>
        <v>Beograd</v>
      </c>
      <c r="AF93" s="26" t="str">
        <f ca="1">IFERROR(__xludf.DUMMYFUNCTION("""COMPUTED_VALUE"""),"TK1084")</f>
        <v>TK1084</v>
      </c>
      <c r="AG93" s="26" t="str">
        <f ca="1">IFERROR(__xludf.DUMMYFUNCTION("""COMPUTED_VALUE"""),"27/10/2024")</f>
        <v>27/10/2024</v>
      </c>
      <c r="AH93" s="27">
        <f ca="1">IFERROR(__xludf.DUMMYFUNCTION("""COMPUTED_VALUE"""),0.840277777777777)</f>
        <v>0.84027777777777701</v>
      </c>
      <c r="AI93" s="26"/>
      <c r="AJ93" s="2" t="str">
        <f ca="1">IFERROR(__xludf.DUMMYFUNCTION("""COMPUTED_VALUE"""),"NOVO")</f>
        <v>NOVO</v>
      </c>
    </row>
    <row r="94" spans="1:36" ht="14.4" customHeight="1" x14ac:dyDescent="0.25">
      <c r="A94" s="9">
        <f ca="1">IFERROR(__xludf.DUMMYFUNCTION("""COMPUTED_VALUE"""),93)</f>
        <v>93</v>
      </c>
      <c r="B94" s="9"/>
      <c r="C94" s="9"/>
      <c r="D94" s="9" t="str">
        <f ca="1">IFERROR(__xludf.DUMMYFUNCTION("""COMPUTED_VALUE"""),"28/08/2024")</f>
        <v>28/08/2024</v>
      </c>
      <c r="E94" s="23" t="str">
        <f ca="1">IFERROR(__xludf.DUMMYFUNCTION("""COMPUTED_VALUE"""),"Player")</f>
        <v>Player</v>
      </c>
      <c r="F94" s="9" t="str">
        <f ca="1">IFERROR(__xludf.DUMMYFUNCTION("""COMPUTED_VALUE"""),"Wagner, Dinara")</f>
        <v>Wagner, Dinara</v>
      </c>
      <c r="G94" s="9" t="str">
        <f ca="1">IFERROR(__xludf.DUMMYFUNCTION("""COMPUTED_VALUE"""),"GER")</f>
        <v>GER</v>
      </c>
      <c r="H94" s="9" t="str">
        <f ca="1">IFERROR(__xludf.DUMMYFUNCTION("""COMPUTED_VALUE"""),"IM")</f>
        <v>IM</v>
      </c>
      <c r="I94" s="9"/>
      <c r="J94" s="9">
        <f ca="1">IFERROR(__xludf.DUMMYFUNCTION("""COMPUTED_VALUE"""),100)</f>
        <v>100</v>
      </c>
      <c r="K94" s="9"/>
      <c r="L94" s="9"/>
      <c r="M94" s="9" t="str">
        <f ca="1">IFERROR(__xludf.DUMMYFUNCTION("""COMPUTED_VALUE"""),"SuperChess")</f>
        <v>SuperChess</v>
      </c>
      <c r="N94" s="9" t="str">
        <f ca="1">IFERROR(__xludf.DUMMYFUNCTION("""COMPUTED_VALUE"""),"ROU")</f>
        <v>ROU</v>
      </c>
      <c r="O94" s="9" t="str">
        <f ca="1">IFERROR(__xludf.DUMMYFUNCTION("""COMPUTED_VALUE"""),"Kocka")</f>
        <v>Kocka</v>
      </c>
      <c r="P94" s="9" t="str">
        <f ca="1">IFERROR(__xludf.DUMMYFUNCTION("""COMPUTED_VALUE"""),"Single")</f>
        <v>Single</v>
      </c>
      <c r="Q94" s="9"/>
      <c r="R94" s="9">
        <f ca="1">IFERROR(__xludf.DUMMYFUNCTION("""COMPUTED_VALUE"""),104)</f>
        <v>104</v>
      </c>
      <c r="S94" s="9" t="str">
        <f ca="1">IFERROR(__xludf.DUMMYFUNCTION("""COMPUTED_VALUE"""),"19/10/2024")</f>
        <v>19/10/2024</v>
      </c>
      <c r="T94" s="9" t="str">
        <f ca="1">IFERROR(__xludf.DUMMYFUNCTION("""COMPUTED_VALUE"""),"27/10/2024")</f>
        <v>27/10/2024</v>
      </c>
      <c r="U94" s="9">
        <f ca="1">IFERROR(__xludf.DUMMYFUNCTION("""COMPUTED_VALUE"""),8)</f>
        <v>8</v>
      </c>
      <c r="V94" s="9">
        <f ca="1">IFERROR(__xludf.DUMMYFUNCTION("""COMPUTED_VALUE"""),832)</f>
        <v>832</v>
      </c>
      <c r="W94" s="9">
        <f ca="1">IFERROR(__xludf.DUMMYFUNCTION("""COMPUTED_VALUE"""),12.8)</f>
        <v>12.8</v>
      </c>
      <c r="X94" s="9">
        <f ca="1">IFERROR(__xludf.DUMMYFUNCTION("""COMPUTED_VALUE"""),844.8)</f>
        <v>844.8</v>
      </c>
      <c r="Y94" s="9"/>
      <c r="Z94" s="9"/>
      <c r="AA94" s="9"/>
      <c r="AB94" s="9"/>
      <c r="AC94" s="9"/>
      <c r="AD94" s="20" t="str">
        <f ca="1">IFERROR(__xludf.DUMMYFUNCTION("""COMPUTED_VALUE"""),"YES")</f>
        <v>YES</v>
      </c>
      <c r="AE94" s="10" t="str">
        <f ca="1">IFERROR(__xludf.DUMMYFUNCTION("""COMPUTED_VALUE"""),"Beograd")</f>
        <v>Beograd</v>
      </c>
      <c r="AF94" s="11" t="str">
        <f ca="1">IFERROR(__xludf.DUMMYFUNCTION("""COMPUTED_VALUE"""),"JU 352")</f>
        <v>JU 352</v>
      </c>
      <c r="AG94" s="11" t="str">
        <f ca="1">IFERROR(__xludf.DUMMYFUNCTION("""COMPUTED_VALUE"""),"27/10/2024")</f>
        <v>27/10/2024</v>
      </c>
      <c r="AH94" s="12">
        <f ca="1">IFERROR(__xludf.DUMMYFUNCTION("""COMPUTED_VALUE"""),0.732638888888888)</f>
        <v>0.73263888888888795</v>
      </c>
      <c r="AI94" s="11"/>
      <c r="AJ94" s="2" t="str">
        <f ca="1">IFERROR(__xludf.DUMMYFUNCTION("""COMPUTED_VALUE"""),"NOVO")</f>
        <v>NOVO</v>
      </c>
    </row>
    <row r="95" spans="1:36" ht="14.4" customHeight="1" x14ac:dyDescent="0.25">
      <c r="A95" s="9">
        <f ca="1">IFERROR(__xludf.DUMMYFUNCTION("""COMPUTED_VALUE"""),93)</f>
        <v>93</v>
      </c>
      <c r="B95" s="9"/>
      <c r="C95" s="9"/>
      <c r="D95" s="9" t="str">
        <f ca="1">IFERROR(__xludf.DUMMYFUNCTION("""COMPUTED_VALUE"""),"28/08/2024")</f>
        <v>28/08/2024</v>
      </c>
      <c r="E95" s="23" t="str">
        <f ca="1">IFERROR(__xludf.DUMMYFUNCTION("""COMPUTED_VALUE"""),"Player")</f>
        <v>Player</v>
      </c>
      <c r="F95" s="9" t="str">
        <f ca="1">IFERROR(__xludf.DUMMYFUNCTION("""COMPUTED_VALUE"""),"Efroimski, Marsel")</f>
        <v>Efroimski, Marsel</v>
      </c>
      <c r="G95" s="9" t="str">
        <f ca="1">IFERROR(__xludf.DUMMYFUNCTION("""COMPUTED_VALUE"""),"ISR")</f>
        <v>ISR</v>
      </c>
      <c r="H95" s="9" t="str">
        <f ca="1">IFERROR(__xludf.DUMMYFUNCTION("""COMPUTED_VALUE"""),"IM")</f>
        <v>IM</v>
      </c>
      <c r="I95" s="9"/>
      <c r="J95" s="9">
        <f ca="1">IFERROR(__xludf.DUMMYFUNCTION("""COMPUTED_VALUE"""),100)</f>
        <v>100</v>
      </c>
      <c r="K95" s="9"/>
      <c r="L95" s="9"/>
      <c r="M95" s="9" t="str">
        <f ca="1">IFERROR(__xludf.DUMMYFUNCTION("""COMPUTED_VALUE"""),"SuperChess")</f>
        <v>SuperChess</v>
      </c>
      <c r="N95" s="9" t="str">
        <f ca="1">IFERROR(__xludf.DUMMYFUNCTION("""COMPUTED_VALUE"""),"ROU")</f>
        <v>ROU</v>
      </c>
      <c r="O95" s="9" t="str">
        <f ca="1">IFERROR(__xludf.DUMMYFUNCTION("""COMPUTED_VALUE"""),"Kocka")</f>
        <v>Kocka</v>
      </c>
      <c r="P95" s="9" t="str">
        <f ca="1">IFERROR(__xludf.DUMMYFUNCTION("""COMPUTED_VALUE"""),"Single")</f>
        <v>Single</v>
      </c>
      <c r="Q95" s="9"/>
      <c r="R95" s="9">
        <f ca="1">IFERROR(__xludf.DUMMYFUNCTION("""COMPUTED_VALUE"""),104)</f>
        <v>104</v>
      </c>
      <c r="S95" s="9" t="str">
        <f ca="1">IFERROR(__xludf.DUMMYFUNCTION("""COMPUTED_VALUE"""),"19/10/2024")</f>
        <v>19/10/2024</v>
      </c>
      <c r="T95" s="9" t="str">
        <f ca="1">IFERROR(__xludf.DUMMYFUNCTION("""COMPUTED_VALUE"""),"27/10/2024")</f>
        <v>27/10/2024</v>
      </c>
      <c r="U95" s="9">
        <f ca="1">IFERROR(__xludf.DUMMYFUNCTION("""COMPUTED_VALUE"""),8)</f>
        <v>8</v>
      </c>
      <c r="V95" s="9">
        <f ca="1">IFERROR(__xludf.DUMMYFUNCTION("""COMPUTED_VALUE"""),832)</f>
        <v>832</v>
      </c>
      <c r="W95" s="9">
        <f ca="1">IFERROR(__xludf.DUMMYFUNCTION("""COMPUTED_VALUE"""),12.8)</f>
        <v>12.8</v>
      </c>
      <c r="X95" s="9">
        <f ca="1">IFERROR(__xludf.DUMMYFUNCTION("""COMPUTED_VALUE"""),844.8)</f>
        <v>844.8</v>
      </c>
      <c r="Y95" s="9"/>
      <c r="Z95" s="9"/>
      <c r="AA95" s="9"/>
      <c r="AB95" s="9"/>
      <c r="AC95" s="9"/>
      <c r="AD95" s="20" t="str">
        <f ca="1">IFERROR(__xludf.DUMMYFUNCTION("""COMPUTED_VALUE"""),"YES")</f>
        <v>YES</v>
      </c>
      <c r="AE95" s="10" t="str">
        <f ca="1">IFERROR(__xludf.DUMMYFUNCTION("""COMPUTED_VALUE"""),"Beograd")</f>
        <v>Beograd</v>
      </c>
      <c r="AF95" s="11" t="str">
        <f ca="1">IFERROR(__xludf.DUMMYFUNCTION("""COMPUTED_VALUE"""),"LY5196")</f>
        <v>LY5196</v>
      </c>
      <c r="AG95" s="11" t="str">
        <f ca="1">IFERROR(__xludf.DUMMYFUNCTION("""COMPUTED_VALUE"""),"28/10/2024")</f>
        <v>28/10/2024</v>
      </c>
      <c r="AH95" s="12">
        <f ca="1">IFERROR(__xludf.DUMMYFUNCTION("""COMPUTED_VALUE"""),0.381944444444444)</f>
        <v>0.38194444444444398</v>
      </c>
      <c r="AI95" s="11"/>
      <c r="AJ95" s="2" t="str">
        <f ca="1">IFERROR(__xludf.DUMMYFUNCTION("""COMPUTED_VALUE"""),"NOVO")</f>
        <v>NOVO</v>
      </c>
    </row>
    <row r="96" spans="1:36" ht="14.4" customHeight="1" x14ac:dyDescent="0.25">
      <c r="A96" s="8">
        <f ca="1">IFERROR(__xludf.DUMMYFUNCTION("""COMPUTED_VALUE"""),94)</f>
        <v>94</v>
      </c>
      <c r="B96" s="8"/>
      <c r="C96" s="8"/>
      <c r="D96" s="8" t="str">
        <f ca="1">IFERROR(__xludf.DUMMYFUNCTION("""COMPUTED_VALUE"""),"28/08/2024")</f>
        <v>28/08/2024</v>
      </c>
      <c r="E96" s="16" t="str">
        <f ca="1">IFERROR(__xludf.DUMMYFUNCTION("""COMPUTED_VALUE"""),"Player")</f>
        <v>Player</v>
      </c>
      <c r="F96" s="8" t="str">
        <f ca="1">IFERROR(__xludf.DUMMYFUNCTION("""COMPUTED_VALUE"""),"Bulmaga, Irina")</f>
        <v>Bulmaga, Irina</v>
      </c>
      <c r="G96" s="8" t="str">
        <f ca="1">IFERROR(__xludf.DUMMYFUNCTION("""COMPUTED_VALUE"""),"ROU")</f>
        <v>ROU</v>
      </c>
      <c r="H96" s="8" t="str">
        <f ca="1">IFERROR(__xludf.DUMMYFUNCTION("""COMPUTED_VALUE"""),"IM")</f>
        <v>IM</v>
      </c>
      <c r="I96" s="8"/>
      <c r="J96" s="8">
        <f ca="1">IFERROR(__xludf.DUMMYFUNCTION("""COMPUTED_VALUE"""),100)</f>
        <v>100</v>
      </c>
      <c r="K96" s="8"/>
      <c r="L96" s="8"/>
      <c r="M96" s="8" t="str">
        <f ca="1">IFERROR(__xludf.DUMMYFUNCTION("""COMPUTED_VALUE"""),"SuperChess")</f>
        <v>SuperChess</v>
      </c>
      <c r="N96" s="8" t="str">
        <f ca="1">IFERROR(__xludf.DUMMYFUNCTION("""COMPUTED_VALUE"""),"ROU")</f>
        <v>ROU</v>
      </c>
      <c r="O96" s="8" t="str">
        <f ca="1">IFERROR(__xludf.DUMMYFUNCTION("""COMPUTED_VALUE"""),"Kocka")</f>
        <v>Kocka</v>
      </c>
      <c r="P96" s="8" t="str">
        <f ca="1">IFERROR(__xludf.DUMMYFUNCTION("""COMPUTED_VALUE"""),"Single")</f>
        <v>Single</v>
      </c>
      <c r="Q96" s="8"/>
      <c r="R96" s="8">
        <f ca="1">IFERROR(__xludf.DUMMYFUNCTION("""COMPUTED_VALUE"""),104)</f>
        <v>104</v>
      </c>
      <c r="S96" s="8" t="str">
        <f ca="1">IFERROR(__xludf.DUMMYFUNCTION("""COMPUTED_VALUE"""),"19/10/2024")</f>
        <v>19/10/2024</v>
      </c>
      <c r="T96" s="8" t="str">
        <f ca="1">IFERROR(__xludf.DUMMYFUNCTION("""COMPUTED_VALUE"""),"27/10/2024")</f>
        <v>27/10/2024</v>
      </c>
      <c r="U96" s="8">
        <f ca="1">IFERROR(__xludf.DUMMYFUNCTION("""COMPUTED_VALUE"""),8)</f>
        <v>8</v>
      </c>
      <c r="V96" s="8">
        <f ca="1">IFERROR(__xludf.DUMMYFUNCTION("""COMPUTED_VALUE"""),832)</f>
        <v>832</v>
      </c>
      <c r="W96" s="8">
        <f ca="1">IFERROR(__xludf.DUMMYFUNCTION("""COMPUTED_VALUE"""),12.8)</f>
        <v>12.8</v>
      </c>
      <c r="X96" s="8">
        <f ca="1">IFERROR(__xludf.DUMMYFUNCTION("""COMPUTED_VALUE"""),844.8)</f>
        <v>844.8</v>
      </c>
      <c r="Y96" s="8"/>
      <c r="Z96" s="8"/>
      <c r="AA96" s="8"/>
      <c r="AB96" s="8"/>
      <c r="AC96" s="8"/>
      <c r="AD96" s="20" t="s">
        <v>7</v>
      </c>
      <c r="AE96" s="10"/>
      <c r="AF96" s="11"/>
      <c r="AG96" s="11"/>
      <c r="AH96" s="12"/>
      <c r="AI96" s="11"/>
      <c r="AJ96" s="2" t="str">
        <f ca="1">IFERROR(__xludf.DUMMYFUNCTION("""COMPUTED_VALUE"""),"NOVO")</f>
        <v>NOVO</v>
      </c>
    </row>
    <row r="97" spans="1:36" ht="14.4" customHeight="1" x14ac:dyDescent="0.25">
      <c r="A97" s="9">
        <f ca="1">IFERROR(__xludf.DUMMYFUNCTION("""COMPUTED_VALUE"""),95)</f>
        <v>95</v>
      </c>
      <c r="B97" s="9"/>
      <c r="C97" s="9"/>
      <c r="D97" s="9" t="str">
        <f ca="1">IFERROR(__xludf.DUMMYFUNCTION("""COMPUTED_VALUE"""),"28/08/2024")</f>
        <v>28/08/2024</v>
      </c>
      <c r="E97" s="23" t="str">
        <f ca="1">IFERROR(__xludf.DUMMYFUNCTION("""COMPUTED_VALUE"""),"Player")</f>
        <v>Player</v>
      </c>
      <c r="F97" s="9" t="str">
        <f ca="1">IFERROR(__xludf.DUMMYFUNCTION("""COMPUTED_VALUE"""),"Fataliyeva, Ulviyya")</f>
        <v>Fataliyeva, Ulviyya</v>
      </c>
      <c r="G97" s="9" t="str">
        <f ca="1">IFERROR(__xludf.DUMMYFUNCTION("""COMPUTED_VALUE"""),"AZE")</f>
        <v>AZE</v>
      </c>
      <c r="H97" s="9" t="str">
        <f ca="1">IFERROR(__xludf.DUMMYFUNCTION("""COMPUTED_VALUE"""),"IM")</f>
        <v>IM</v>
      </c>
      <c r="I97" s="9"/>
      <c r="J97" s="9">
        <f ca="1">IFERROR(__xludf.DUMMYFUNCTION("""COMPUTED_VALUE"""),100)</f>
        <v>100</v>
      </c>
      <c r="K97" s="9"/>
      <c r="L97" s="9"/>
      <c r="M97" s="9" t="str">
        <f ca="1">IFERROR(__xludf.DUMMYFUNCTION("""COMPUTED_VALUE"""),"SuperChess")</f>
        <v>SuperChess</v>
      </c>
      <c r="N97" s="9" t="str">
        <f ca="1">IFERROR(__xludf.DUMMYFUNCTION("""COMPUTED_VALUE"""),"ROU")</f>
        <v>ROU</v>
      </c>
      <c r="O97" s="9" t="str">
        <f ca="1">IFERROR(__xludf.DUMMYFUNCTION("""COMPUTED_VALUE"""),"Kocka")</f>
        <v>Kocka</v>
      </c>
      <c r="P97" s="9" t="str">
        <f ca="1">IFERROR(__xludf.DUMMYFUNCTION("""COMPUTED_VALUE"""),"Single")</f>
        <v>Single</v>
      </c>
      <c r="Q97" s="9"/>
      <c r="R97" s="9">
        <f ca="1">IFERROR(__xludf.DUMMYFUNCTION("""COMPUTED_VALUE"""),104)</f>
        <v>104</v>
      </c>
      <c r="S97" s="9" t="str">
        <f ca="1">IFERROR(__xludf.DUMMYFUNCTION("""COMPUTED_VALUE"""),"19/10/2024")</f>
        <v>19/10/2024</v>
      </c>
      <c r="T97" s="9" t="str">
        <f ca="1">IFERROR(__xludf.DUMMYFUNCTION("""COMPUTED_VALUE"""),"27/10/2024")</f>
        <v>27/10/2024</v>
      </c>
      <c r="U97" s="9">
        <f ca="1">IFERROR(__xludf.DUMMYFUNCTION("""COMPUTED_VALUE"""),8)</f>
        <v>8</v>
      </c>
      <c r="V97" s="9">
        <f ca="1">IFERROR(__xludf.DUMMYFUNCTION("""COMPUTED_VALUE"""),832)</f>
        <v>832</v>
      </c>
      <c r="W97" s="9">
        <f ca="1">IFERROR(__xludf.DUMMYFUNCTION("""COMPUTED_VALUE"""),12.8)</f>
        <v>12.8</v>
      </c>
      <c r="X97" s="9">
        <f ca="1">IFERROR(__xludf.DUMMYFUNCTION("""COMPUTED_VALUE"""),844.8)</f>
        <v>844.8</v>
      </c>
      <c r="Y97" s="9"/>
      <c r="Z97" s="9"/>
      <c r="AA97" s="9"/>
      <c r="AB97" s="9"/>
      <c r="AC97" s="9"/>
      <c r="AD97" s="20" t="str">
        <f ca="1">IFERROR(__xludf.DUMMYFUNCTION("""COMPUTED_VALUE"""),"YES")</f>
        <v>YES</v>
      </c>
      <c r="AE97" s="10" t="str">
        <f ca="1">IFERROR(__xludf.DUMMYFUNCTION("""COMPUTED_VALUE"""),"Beograd")</f>
        <v>Beograd</v>
      </c>
      <c r="AF97" s="11" t="str">
        <f ca="1">IFERROR(__xludf.DUMMYFUNCTION("""COMPUTED_VALUE"""),"TK1080")</f>
        <v>TK1080</v>
      </c>
      <c r="AG97" s="11" t="str">
        <f ca="1">IFERROR(__xludf.DUMMYFUNCTION("""COMPUTED_VALUE"""),"27/10/2024")</f>
        <v>27/10/2024</v>
      </c>
      <c r="AH97" s="12">
        <f ca="1">IFERROR(__xludf.DUMMYFUNCTION("""COMPUTED_VALUE"""),0.631944444444444)</f>
        <v>0.63194444444444398</v>
      </c>
      <c r="AI97" s="11"/>
      <c r="AJ97" s="2" t="str">
        <f ca="1">IFERROR(__xludf.DUMMYFUNCTION("""COMPUTED_VALUE"""),"NOVO")</f>
        <v>NOVO</v>
      </c>
    </row>
    <row r="98" spans="1:36" ht="14.4" customHeight="1" x14ac:dyDescent="0.25">
      <c r="A98" s="8">
        <f ca="1">IFERROR(__xludf.DUMMYFUNCTION("""COMPUTED_VALUE"""),96)</f>
        <v>96</v>
      </c>
      <c r="B98" s="8"/>
      <c r="C98" s="8"/>
      <c r="D98" s="8" t="str">
        <f ca="1">IFERROR(__xludf.DUMMYFUNCTION("""COMPUTED_VALUE"""),"28/08/2024")</f>
        <v>28/08/2024</v>
      </c>
      <c r="E98" s="16" t="s">
        <v>0</v>
      </c>
      <c r="F98" s="8" t="str">
        <f ca="1">IFERROR(__xludf.DUMMYFUNCTION("""COMPUTED_VALUE"""),"Motylev, Alexander")</f>
        <v>Motylev, Alexander</v>
      </c>
      <c r="G98" s="8" t="str">
        <f ca="1">IFERROR(__xludf.DUMMYFUNCTION("""COMPUTED_VALUE"""),"ROU")</f>
        <v>ROU</v>
      </c>
      <c r="H98" s="8" t="str">
        <f ca="1">IFERROR(__xludf.DUMMYFUNCTION("""COMPUTED_VALUE"""),"GM")</f>
        <v>GM</v>
      </c>
      <c r="I98" s="8"/>
      <c r="J98" s="8">
        <f ca="1">IFERROR(__xludf.DUMMYFUNCTION("""COMPUTED_VALUE"""),100)</f>
        <v>100</v>
      </c>
      <c r="K98" s="8"/>
      <c r="L98" s="8"/>
      <c r="M98" s="8" t="str">
        <f ca="1">IFERROR(__xludf.DUMMYFUNCTION("""COMPUTED_VALUE"""),"SuperChess")</f>
        <v>SuperChess</v>
      </c>
      <c r="N98" s="8" t="str">
        <f ca="1">IFERROR(__xludf.DUMMYFUNCTION("""COMPUTED_VALUE"""),"ROU")</f>
        <v>ROU</v>
      </c>
      <c r="O98" s="8" t="str">
        <f ca="1">IFERROR(__xludf.DUMMYFUNCTION("""COMPUTED_VALUE"""),"Kocka")</f>
        <v>Kocka</v>
      </c>
      <c r="P98" s="8" t="str">
        <f ca="1">IFERROR(__xludf.DUMMYFUNCTION("""COMPUTED_VALUE"""),"Single")</f>
        <v>Single</v>
      </c>
      <c r="Q98" s="8"/>
      <c r="R98" s="8">
        <f ca="1">IFERROR(__xludf.DUMMYFUNCTION("""COMPUTED_VALUE"""),104)</f>
        <v>104</v>
      </c>
      <c r="S98" s="8" t="str">
        <f ca="1">IFERROR(__xludf.DUMMYFUNCTION("""COMPUTED_VALUE"""),"19/10/2024")</f>
        <v>19/10/2024</v>
      </c>
      <c r="T98" s="8" t="str">
        <f ca="1">IFERROR(__xludf.DUMMYFUNCTION("""COMPUTED_VALUE"""),"27/10/2024")</f>
        <v>27/10/2024</v>
      </c>
      <c r="U98" s="8">
        <f ca="1">IFERROR(__xludf.DUMMYFUNCTION("""COMPUTED_VALUE"""),8)</f>
        <v>8</v>
      </c>
      <c r="V98" s="8">
        <f ca="1">IFERROR(__xludf.DUMMYFUNCTION("""COMPUTED_VALUE"""),832)</f>
        <v>832</v>
      </c>
      <c r="W98" s="8">
        <f ca="1">IFERROR(__xludf.DUMMYFUNCTION("""COMPUTED_VALUE"""),12.8)</f>
        <v>12.8</v>
      </c>
      <c r="X98" s="8">
        <f ca="1">IFERROR(__xludf.DUMMYFUNCTION("""COMPUTED_VALUE"""),844.8)</f>
        <v>844.8</v>
      </c>
      <c r="Y98" s="8"/>
      <c r="Z98" s="8"/>
      <c r="AA98" s="8"/>
      <c r="AB98" s="8"/>
      <c r="AC98" s="8"/>
      <c r="AD98" s="20" t="str">
        <f ca="1">IFERROR(__xludf.DUMMYFUNCTION("""COMPUTED_VALUE"""),"YES")</f>
        <v>YES</v>
      </c>
      <c r="AE98" s="10" t="str">
        <f ca="1">IFERROR(__xludf.DUMMYFUNCTION("""COMPUTED_VALUE"""),"Beograd")</f>
        <v>Beograd</v>
      </c>
      <c r="AF98" s="26" t="s">
        <v>53</v>
      </c>
      <c r="AG98" s="26"/>
      <c r="AH98" s="27"/>
      <c r="AI98" s="26"/>
      <c r="AJ98" s="2" t="str">
        <f ca="1">IFERROR(__xludf.DUMMYFUNCTION("""COMPUTED_VALUE"""),"NOVO")</f>
        <v>NOVO</v>
      </c>
    </row>
    <row r="99" spans="1:36" ht="14.4" customHeight="1" x14ac:dyDescent="0.25">
      <c r="A99" s="9">
        <f ca="1">IFERROR(__xludf.DUMMYFUNCTION("""COMPUTED_VALUE"""),97)</f>
        <v>97</v>
      </c>
      <c r="B99" s="9"/>
      <c r="C99" s="9"/>
      <c r="D99" s="9" t="str">
        <f ca="1">IFERROR(__xludf.DUMMYFUNCTION("""COMPUTED_VALUE"""),"29/08/2024")</f>
        <v>29/08/2024</v>
      </c>
      <c r="E99" s="23" t="str">
        <f ca="1">IFERROR(__xludf.DUMMYFUNCTION("""COMPUTED_VALUE"""),"Player")</f>
        <v>Player</v>
      </c>
      <c r="F99" s="9" t="s">
        <v>13</v>
      </c>
      <c r="G99" s="9" t="str">
        <f ca="1">IFERROR(__xludf.DUMMYFUNCTION("""COMPUTED_VALUE"""),"SRB")</f>
        <v>SRB</v>
      </c>
      <c r="H99" s="9"/>
      <c r="I99" s="9"/>
      <c r="J99" s="9">
        <f ca="1">IFERROR(__xludf.DUMMYFUNCTION("""COMPUTED_VALUE"""),100)</f>
        <v>100</v>
      </c>
      <c r="K99" s="9"/>
      <c r="L99" s="9"/>
      <c r="M99" s="9" t="str">
        <f ca="1">IFERROR(__xludf.DUMMYFUNCTION("""COMPUTED_VALUE"""),"Zmaj")</f>
        <v>Zmaj</v>
      </c>
      <c r="N99" s="9" t="str">
        <f ca="1">IFERROR(__xludf.DUMMYFUNCTION("""COMPUTED_VALUE"""),"SRB")</f>
        <v>SRB</v>
      </c>
      <c r="O99" s="9" t="str">
        <f ca="1">IFERROR(__xludf.DUMMYFUNCTION("""COMPUTED_VALUE"""),"Terme")</f>
        <v>Terme</v>
      </c>
      <c r="P99" s="9" t="str">
        <f ca="1">IFERROR(__xludf.DUMMYFUNCTION("""COMPUTED_VALUE"""),"Double")</f>
        <v>Double</v>
      </c>
      <c r="Q99" s="9" t="str">
        <f ca="1">IFERROR(__xludf.DUMMYFUNCTION("""COMPUTED_VALUE"""),"Simonovic V.")</f>
        <v>Simonovic V.</v>
      </c>
      <c r="R99" s="9"/>
      <c r="S99" s="9" t="str">
        <f ca="1">IFERROR(__xludf.DUMMYFUNCTION("""COMPUTED_VALUE"""),"19/10/2024")</f>
        <v>19/10/2024</v>
      </c>
      <c r="T99" s="9" t="str">
        <f ca="1">IFERROR(__xludf.DUMMYFUNCTION("""COMPUTED_VALUE"""),"27/10/2024")</f>
        <v>27/10/2024</v>
      </c>
      <c r="U99" s="9">
        <f ca="1">IFERROR(__xludf.DUMMYFUNCTION("""COMPUTED_VALUE"""),8)</f>
        <v>8</v>
      </c>
      <c r="V99" s="9">
        <f ca="1">IFERROR(__xludf.DUMMYFUNCTION("""COMPUTED_VALUE"""),0)</f>
        <v>0</v>
      </c>
      <c r="W99" s="9">
        <f ca="1">IFERROR(__xludf.DUMMYFUNCTION("""COMPUTED_VALUE"""),12.8)</f>
        <v>12.8</v>
      </c>
      <c r="X99" s="9">
        <f ca="1">IFERROR(__xludf.DUMMYFUNCTION("""COMPUTED_VALUE"""),12.8)</f>
        <v>12.8</v>
      </c>
      <c r="Y99" s="9"/>
      <c r="Z99" s="9"/>
      <c r="AA99" s="9"/>
      <c r="AB99" s="9"/>
      <c r="AC99" s="9"/>
      <c r="AD99" s="36" t="str">
        <f ca="1">IFERROR(__xludf.DUMMYFUNCTION("""COMPUTED_VALUE"""),"YES")</f>
        <v>YES</v>
      </c>
      <c r="AE99" s="10" t="s">
        <v>8</v>
      </c>
      <c r="AF99" s="11" t="s">
        <v>32</v>
      </c>
      <c r="AG99" s="11" t="str">
        <f ca="1">IFERROR(__xludf.DUMMYFUNCTION("""COMPUTED_VALUE"""),"27/10/2024")</f>
        <v>27/10/2024</v>
      </c>
      <c r="AH99" s="11"/>
      <c r="AI99" s="11"/>
      <c r="AJ99" s="2"/>
    </row>
    <row r="100" spans="1:36" ht="14.4" customHeight="1" x14ac:dyDescent="0.25">
      <c r="A100" s="9">
        <f ca="1">IFERROR(__xludf.DUMMYFUNCTION("""COMPUTED_VALUE"""),98)</f>
        <v>98</v>
      </c>
      <c r="B100" s="9"/>
      <c r="C100" s="9"/>
      <c r="D100" s="9" t="str">
        <f ca="1">IFERROR(__xludf.DUMMYFUNCTION("""COMPUTED_VALUE"""),"29/08/2024")</f>
        <v>29/08/2024</v>
      </c>
      <c r="E100" s="23" t="str">
        <f ca="1">IFERROR(__xludf.DUMMYFUNCTION("""COMPUTED_VALUE"""),"Player")</f>
        <v>Player</v>
      </c>
      <c r="F100" s="9" t="s">
        <v>14</v>
      </c>
      <c r="G100" s="9" t="str">
        <f ca="1">IFERROR(__xludf.DUMMYFUNCTION("""COMPUTED_VALUE"""),"SRB")</f>
        <v>SRB</v>
      </c>
      <c r="H100" s="9"/>
      <c r="I100" s="9"/>
      <c r="J100" s="9">
        <f ca="1">IFERROR(__xludf.DUMMYFUNCTION("""COMPUTED_VALUE"""),100)</f>
        <v>100</v>
      </c>
      <c r="K100" s="9"/>
      <c r="L100" s="9"/>
      <c r="M100" s="9" t="str">
        <f ca="1">IFERROR(__xludf.DUMMYFUNCTION("""COMPUTED_VALUE"""),"Zmaj")</f>
        <v>Zmaj</v>
      </c>
      <c r="N100" s="9" t="str">
        <f ca="1">IFERROR(__xludf.DUMMYFUNCTION("""COMPUTED_VALUE"""),"SRB")</f>
        <v>SRB</v>
      </c>
      <c r="O100" s="9" t="str">
        <f ca="1">IFERROR(__xludf.DUMMYFUNCTION("""COMPUTED_VALUE"""),"Terme")</f>
        <v>Terme</v>
      </c>
      <c r="P100" s="9" t="str">
        <f ca="1">IFERROR(__xludf.DUMMYFUNCTION("""COMPUTED_VALUE"""),"Double")</f>
        <v>Double</v>
      </c>
      <c r="Q100" s="9" t="str">
        <f ca="1">IFERROR(__xludf.DUMMYFUNCTION("""COMPUTED_VALUE"""),"Simonovic A.")</f>
        <v>Simonovic A.</v>
      </c>
      <c r="R100" s="9"/>
      <c r="S100" s="9" t="str">
        <f ca="1">IFERROR(__xludf.DUMMYFUNCTION("""COMPUTED_VALUE"""),"19/10/2024")</f>
        <v>19/10/2024</v>
      </c>
      <c r="T100" s="9" t="str">
        <f ca="1">IFERROR(__xludf.DUMMYFUNCTION("""COMPUTED_VALUE"""),"27/10/2024")</f>
        <v>27/10/2024</v>
      </c>
      <c r="U100" s="9">
        <f ca="1">IFERROR(__xludf.DUMMYFUNCTION("""COMPUTED_VALUE"""),8)</f>
        <v>8</v>
      </c>
      <c r="V100" s="9">
        <f ca="1">IFERROR(__xludf.DUMMYFUNCTION("""COMPUTED_VALUE"""),0)</f>
        <v>0</v>
      </c>
      <c r="W100" s="9">
        <f ca="1">IFERROR(__xludf.DUMMYFUNCTION("""COMPUTED_VALUE"""),12.8)</f>
        <v>12.8</v>
      </c>
      <c r="X100" s="9">
        <f ca="1">IFERROR(__xludf.DUMMYFUNCTION("""COMPUTED_VALUE"""),12.8)</f>
        <v>12.8</v>
      </c>
      <c r="Y100" s="9"/>
      <c r="Z100" s="9"/>
      <c r="AA100" s="9"/>
      <c r="AB100" s="9"/>
      <c r="AC100" s="9"/>
      <c r="AD100" s="36" t="str">
        <f ca="1">IFERROR(__xludf.DUMMYFUNCTION("""COMPUTED_VALUE"""),"YES")</f>
        <v>YES</v>
      </c>
      <c r="AE100" s="10" t="s">
        <v>8</v>
      </c>
      <c r="AF100" s="11" t="s">
        <v>32</v>
      </c>
      <c r="AG100" s="11" t="str">
        <f ca="1">IFERROR(__xludf.DUMMYFUNCTION("""COMPUTED_VALUE"""),"27/10/2024")</f>
        <v>27/10/2024</v>
      </c>
      <c r="AH100" s="11"/>
      <c r="AI100" s="11"/>
      <c r="AJ100" s="2"/>
    </row>
    <row r="101" spans="1:36" ht="14.4" customHeight="1" x14ac:dyDescent="0.25">
      <c r="A101" s="9">
        <f ca="1">IFERROR(__xludf.DUMMYFUNCTION("""COMPUTED_VALUE"""),99)</f>
        <v>99</v>
      </c>
      <c r="B101" s="9"/>
      <c r="C101" s="9"/>
      <c r="D101" s="9" t="str">
        <f ca="1">IFERROR(__xludf.DUMMYFUNCTION("""COMPUTED_VALUE"""),"29/08/2024")</f>
        <v>29/08/2024</v>
      </c>
      <c r="E101" s="23" t="str">
        <f ca="1">IFERROR(__xludf.DUMMYFUNCTION("""COMPUTED_VALUE"""),"Player")</f>
        <v>Player</v>
      </c>
      <c r="F101" s="9" t="s">
        <v>33</v>
      </c>
      <c r="G101" s="9" t="str">
        <f ca="1">IFERROR(__xludf.DUMMYFUNCTION("""COMPUTED_VALUE"""),"SRB")</f>
        <v>SRB</v>
      </c>
      <c r="H101" s="9"/>
      <c r="I101" s="9"/>
      <c r="J101" s="9">
        <f ca="1">IFERROR(__xludf.DUMMYFUNCTION("""COMPUTED_VALUE"""),100)</f>
        <v>100</v>
      </c>
      <c r="K101" s="9"/>
      <c r="L101" s="9"/>
      <c r="M101" s="9" t="str">
        <f ca="1">IFERROR(__xludf.DUMMYFUNCTION("""COMPUTED_VALUE"""),"Zmaj")</f>
        <v>Zmaj</v>
      </c>
      <c r="N101" s="9" t="str">
        <f ca="1">IFERROR(__xludf.DUMMYFUNCTION("""COMPUTED_VALUE"""),"SRB")</f>
        <v>SRB</v>
      </c>
      <c r="O101" s="9" t="str">
        <f ca="1">IFERROR(__xludf.DUMMYFUNCTION("""COMPUTED_VALUE"""),"Terme")</f>
        <v>Terme</v>
      </c>
      <c r="P101" s="9" t="str">
        <f ca="1">IFERROR(__xludf.DUMMYFUNCTION("""COMPUTED_VALUE"""),"Single")</f>
        <v>Single</v>
      </c>
      <c r="Q101" s="9"/>
      <c r="R101" s="9"/>
      <c r="S101" s="9" t="str">
        <f ca="1">IFERROR(__xludf.DUMMYFUNCTION("""COMPUTED_VALUE"""),"19/10/2024")</f>
        <v>19/10/2024</v>
      </c>
      <c r="T101" s="9" t="str">
        <f ca="1">IFERROR(__xludf.DUMMYFUNCTION("""COMPUTED_VALUE"""),"27/10/2024")</f>
        <v>27/10/2024</v>
      </c>
      <c r="U101" s="9">
        <f ca="1">IFERROR(__xludf.DUMMYFUNCTION("""COMPUTED_VALUE"""),8)</f>
        <v>8</v>
      </c>
      <c r="V101" s="9">
        <f ca="1">IFERROR(__xludf.DUMMYFUNCTION("""COMPUTED_VALUE"""),0)</f>
        <v>0</v>
      </c>
      <c r="W101" s="9">
        <f ca="1">IFERROR(__xludf.DUMMYFUNCTION("""COMPUTED_VALUE"""),12.8)</f>
        <v>12.8</v>
      </c>
      <c r="X101" s="9">
        <f ca="1">IFERROR(__xludf.DUMMYFUNCTION("""COMPUTED_VALUE"""),12.8)</f>
        <v>12.8</v>
      </c>
      <c r="Y101" s="9"/>
      <c r="Z101" s="9"/>
      <c r="AA101" s="9"/>
      <c r="AB101" s="9"/>
      <c r="AC101" s="9"/>
      <c r="AD101" s="36" t="str">
        <f ca="1">IFERROR(__xludf.DUMMYFUNCTION("""COMPUTED_VALUE"""),"YES")</f>
        <v>YES</v>
      </c>
      <c r="AE101" s="10" t="s">
        <v>8</v>
      </c>
      <c r="AF101" s="11" t="s">
        <v>32</v>
      </c>
      <c r="AG101" s="11" t="str">
        <f ca="1">IFERROR(__xludf.DUMMYFUNCTION("""COMPUTED_VALUE"""),"27/10/2024")</f>
        <v>27/10/2024</v>
      </c>
      <c r="AH101" s="11"/>
      <c r="AI101" s="11"/>
      <c r="AJ101" s="2"/>
    </row>
    <row r="102" spans="1:36" ht="14.4" customHeight="1" x14ac:dyDescent="0.25">
      <c r="A102" s="9">
        <f ca="1">IFERROR(__xludf.DUMMYFUNCTION("""COMPUTED_VALUE"""),100)</f>
        <v>100</v>
      </c>
      <c r="B102" s="9"/>
      <c r="C102" s="9"/>
      <c r="D102" s="9" t="str">
        <f ca="1">IFERROR(__xludf.DUMMYFUNCTION("""COMPUTED_VALUE"""),"29/08/2024")</f>
        <v>29/08/2024</v>
      </c>
      <c r="E102" s="23" t="str">
        <f ca="1">IFERROR(__xludf.DUMMYFUNCTION("""COMPUTED_VALUE"""),"Player")</f>
        <v>Player</v>
      </c>
      <c r="F102" s="9" t="str">
        <f ca="1">IFERROR(__xludf.DUMMYFUNCTION("""COMPUTED_VALUE"""),"Agarwal, Amaya")</f>
        <v>Agarwal, Amaya</v>
      </c>
      <c r="G102" s="9" t="str">
        <f ca="1">IFERROR(__xludf.DUMMYFUNCTION("""COMPUTED_VALUE"""),"ENG")</f>
        <v>ENG</v>
      </c>
      <c r="H102" s="9"/>
      <c r="I102" s="9"/>
      <c r="J102" s="9">
        <f ca="1">IFERROR(__xludf.DUMMYFUNCTION("""COMPUTED_VALUE"""),100)</f>
        <v>100</v>
      </c>
      <c r="K102" s="9"/>
      <c r="L102" s="9"/>
      <c r="M102" s="9" t="str">
        <f ca="1">IFERROR(__xludf.DUMMYFUNCTION("""COMPUTED_VALUE"""),"Zmaj")</f>
        <v>Zmaj</v>
      </c>
      <c r="N102" s="9" t="str">
        <f ca="1">IFERROR(__xludf.DUMMYFUNCTION("""COMPUTED_VALUE"""),"SRB")</f>
        <v>SRB</v>
      </c>
      <c r="O102" s="9" t="str">
        <f ca="1">IFERROR(__xludf.DUMMYFUNCTION("""COMPUTED_VALUE"""),"Terme")</f>
        <v>Terme</v>
      </c>
      <c r="P102" s="9" t="str">
        <f ca="1">IFERROR(__xludf.DUMMYFUNCTION("""COMPUTED_VALUE"""),"Double")</f>
        <v>Double</v>
      </c>
      <c r="Q102" s="9" t="str">
        <f ca="1">IFERROR(__xludf.DUMMYFUNCTION("""COMPUTED_VALUE"""),"Agarwal App")</f>
        <v>Agarwal App</v>
      </c>
      <c r="R102" s="9"/>
      <c r="S102" s="9" t="str">
        <f ca="1">IFERROR(__xludf.DUMMYFUNCTION("""COMPUTED_VALUE"""),"19/10/2024")</f>
        <v>19/10/2024</v>
      </c>
      <c r="T102" s="9" t="str">
        <f ca="1">IFERROR(__xludf.DUMMYFUNCTION("""COMPUTED_VALUE"""),"27/10/2024")</f>
        <v>27/10/2024</v>
      </c>
      <c r="U102" s="9">
        <f ca="1">IFERROR(__xludf.DUMMYFUNCTION("""COMPUTED_VALUE"""),8)</f>
        <v>8</v>
      </c>
      <c r="V102" s="9">
        <f ca="1">IFERROR(__xludf.DUMMYFUNCTION("""COMPUTED_VALUE"""),0)</f>
        <v>0</v>
      </c>
      <c r="W102" s="9">
        <f ca="1">IFERROR(__xludf.DUMMYFUNCTION("""COMPUTED_VALUE"""),12.8)</f>
        <v>12.8</v>
      </c>
      <c r="X102" s="9">
        <f ca="1">IFERROR(__xludf.DUMMYFUNCTION("""COMPUTED_VALUE"""),12.8)</f>
        <v>12.8</v>
      </c>
      <c r="Y102" s="9"/>
      <c r="Z102" s="9"/>
      <c r="AA102" s="9"/>
      <c r="AB102" s="9"/>
      <c r="AC102" s="9"/>
      <c r="AD102" s="36" t="str">
        <f ca="1">IFERROR(__xludf.DUMMYFUNCTION("""COMPUTED_VALUE"""),"YES")</f>
        <v>YES</v>
      </c>
      <c r="AE102" s="10" t="s">
        <v>8</v>
      </c>
      <c r="AF102" s="11" t="s">
        <v>32</v>
      </c>
      <c r="AG102" s="11" t="str">
        <f ca="1">IFERROR(__xludf.DUMMYFUNCTION("""COMPUTED_VALUE"""),"27/10/2024")</f>
        <v>27/10/2024</v>
      </c>
      <c r="AH102" s="12"/>
      <c r="AI102" s="11"/>
      <c r="AJ102" s="2" t="str">
        <f ca="1">IFERROR(__xludf.DUMMYFUNCTION("""COMPUTED_VALUE"""),"NOVO")</f>
        <v>NOVO</v>
      </c>
    </row>
    <row r="103" spans="1:36" ht="14.4" customHeight="1" x14ac:dyDescent="0.25">
      <c r="A103" s="9">
        <f ca="1">IFERROR(__xludf.DUMMYFUNCTION("""COMPUTED_VALUE"""),101)</f>
        <v>101</v>
      </c>
      <c r="B103" s="9"/>
      <c r="C103" s="9"/>
      <c r="D103" s="9"/>
      <c r="E103" s="23" t="s">
        <v>0</v>
      </c>
      <c r="F103" s="9" t="str">
        <f ca="1">IFERROR(__xludf.DUMMYFUNCTION("""COMPUTED_VALUE"""),"Agarwal, Panacha")</f>
        <v>Agarwal, Panacha</v>
      </c>
      <c r="G103" s="9" t="str">
        <f ca="1">IFERROR(__xludf.DUMMYFUNCTION("""COMPUTED_VALUE"""),"ENG")</f>
        <v>ENG</v>
      </c>
      <c r="H103" s="9"/>
      <c r="I103" s="9"/>
      <c r="J103" s="9">
        <f ca="1">IFERROR(__xludf.DUMMYFUNCTION("""COMPUTED_VALUE"""),100)</f>
        <v>100</v>
      </c>
      <c r="K103" s="9"/>
      <c r="L103" s="9"/>
      <c r="M103" s="9" t="str">
        <f ca="1">IFERROR(__xludf.DUMMYFUNCTION("""COMPUTED_VALUE"""),"Zmaj")</f>
        <v>Zmaj</v>
      </c>
      <c r="N103" s="9" t="str">
        <f ca="1">IFERROR(__xludf.DUMMYFUNCTION("""COMPUTED_VALUE"""),"SRB")</f>
        <v>SRB</v>
      </c>
      <c r="O103" s="9" t="str">
        <f ca="1">IFERROR(__xludf.DUMMYFUNCTION("""COMPUTED_VALUE"""),"Terme")</f>
        <v>Terme</v>
      </c>
      <c r="P103" s="9" t="str">
        <f ca="1">IFERROR(__xludf.DUMMYFUNCTION("""COMPUTED_VALUE"""),"Double")</f>
        <v>Double</v>
      </c>
      <c r="Q103" s="9" t="str">
        <f ca="1">IFERROR(__xludf.DUMMYFUNCTION("""COMPUTED_VALUE"""),"Agarwal App")</f>
        <v>Agarwal App</v>
      </c>
      <c r="R103" s="9"/>
      <c r="S103" s="9" t="str">
        <f ca="1">IFERROR(__xludf.DUMMYFUNCTION("""COMPUTED_VALUE"""),"19/10/2024")</f>
        <v>19/10/2024</v>
      </c>
      <c r="T103" s="9" t="str">
        <f ca="1">IFERROR(__xludf.DUMMYFUNCTION("""COMPUTED_VALUE"""),"27/10/2024")</f>
        <v>27/10/2024</v>
      </c>
      <c r="U103" s="9">
        <f ca="1">IFERROR(__xludf.DUMMYFUNCTION("""COMPUTED_VALUE"""),8)</f>
        <v>8</v>
      </c>
      <c r="V103" s="9">
        <f ca="1">IFERROR(__xludf.DUMMYFUNCTION("""COMPUTED_VALUE"""),0)</f>
        <v>0</v>
      </c>
      <c r="W103" s="9">
        <f ca="1">IFERROR(__xludf.DUMMYFUNCTION("""COMPUTED_VALUE"""),12.8)</f>
        <v>12.8</v>
      </c>
      <c r="X103" s="9">
        <f ca="1">IFERROR(__xludf.DUMMYFUNCTION("""COMPUTED_VALUE"""),12.8)</f>
        <v>12.8</v>
      </c>
      <c r="Y103" s="9"/>
      <c r="Z103" s="9"/>
      <c r="AA103" s="9"/>
      <c r="AB103" s="9"/>
      <c r="AC103" s="9"/>
      <c r="AD103" s="36" t="str">
        <f ca="1">IFERROR(__xludf.DUMMYFUNCTION("""COMPUTED_VALUE"""),"YES")</f>
        <v>YES</v>
      </c>
      <c r="AE103" s="10" t="s">
        <v>8</v>
      </c>
      <c r="AF103" s="11" t="s">
        <v>32</v>
      </c>
      <c r="AG103" s="11" t="str">
        <f ca="1">IFERROR(__xludf.DUMMYFUNCTION("""COMPUTED_VALUE"""),"27/10/2024")</f>
        <v>27/10/2024</v>
      </c>
      <c r="AH103" s="12"/>
      <c r="AI103" s="11"/>
      <c r="AJ103" s="2" t="str">
        <f ca="1">IFERROR(__xludf.DUMMYFUNCTION("""COMPUTED_VALUE"""),"NOVO")</f>
        <v>NOVO</v>
      </c>
    </row>
    <row r="104" spans="1:36" ht="14.4" customHeight="1" x14ac:dyDescent="0.25">
      <c r="A104" s="9">
        <f ca="1">IFERROR(__xludf.DUMMYFUNCTION("""COMPUTED_VALUE"""),102)</f>
        <v>102</v>
      </c>
      <c r="B104" s="9"/>
      <c r="C104" s="9"/>
      <c r="D104" s="9" t="str">
        <f ca="1">IFERROR(__xludf.DUMMYFUNCTION("""COMPUTED_VALUE"""),"22/09/2024")</f>
        <v>22/09/2024</v>
      </c>
      <c r="E104" s="23"/>
      <c r="F104" s="9" t="s">
        <v>34</v>
      </c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36" t="str">
        <f ca="1">IFERROR(__xludf.DUMMYFUNCTION("""COMPUTED_VALUE"""),"YES")</f>
        <v>YES</v>
      </c>
      <c r="AE104" s="10" t="s">
        <v>8</v>
      </c>
      <c r="AF104" s="11" t="s">
        <v>32</v>
      </c>
      <c r="AG104" s="11" t="str">
        <f ca="1">IFERROR(__xludf.DUMMYFUNCTION("""COMPUTED_VALUE"""),"27/10/2024")</f>
        <v>27/10/2024</v>
      </c>
      <c r="AH104" s="12"/>
      <c r="AI104" s="11"/>
      <c r="AJ104" s="2"/>
    </row>
    <row r="105" spans="1:36" ht="14.4" customHeight="1" x14ac:dyDescent="0.25">
      <c r="A105" s="9">
        <f ca="1">IFERROR(__xludf.DUMMYFUNCTION("""COMPUTED_VALUE"""),103)</f>
        <v>103</v>
      </c>
      <c r="B105" s="9"/>
      <c r="C105" s="9"/>
      <c r="D105" s="9" t="str">
        <f ca="1">IFERROR(__xludf.DUMMYFUNCTION("""COMPUTED_VALUE"""),"22/09/2024")</f>
        <v>22/09/2024</v>
      </c>
      <c r="E105" s="23" t="str">
        <f ca="1">IFERROR(__xludf.DUMMYFUNCTION("""COMPUTED_VALUE"""),"Player")</f>
        <v>Player</v>
      </c>
      <c r="F105" s="9" t="str">
        <f ca="1">IFERROR(__xludf.DUMMYFUNCTION("""COMPUTED_VALUE"""),"Manakova, Maria")</f>
        <v>Manakova, Maria</v>
      </c>
      <c r="G105" s="9" t="str">
        <f ca="1">IFERROR(__xludf.DUMMYFUNCTION("""COMPUTED_VALUE"""),"SRB")</f>
        <v>SRB</v>
      </c>
      <c r="H105" s="9" t="str">
        <f ca="1">IFERROR(__xludf.DUMMYFUNCTION("""COMPUTED_VALUE"""),"WGM")</f>
        <v>WGM</v>
      </c>
      <c r="I105" s="9"/>
      <c r="J105" s="9">
        <f ca="1">IFERROR(__xludf.DUMMYFUNCTION("""COMPUTED_VALUE"""),100)</f>
        <v>100</v>
      </c>
      <c r="K105" s="9"/>
      <c r="L105" s="9"/>
      <c r="M105" s="9" t="str">
        <f ca="1">IFERROR(__xludf.DUMMYFUNCTION("""COMPUTED_VALUE"""),"Napredak")</f>
        <v>Napredak</v>
      </c>
      <c r="N105" s="9" t="str">
        <f ca="1">IFERROR(__xludf.DUMMYFUNCTION("""COMPUTED_VALUE"""),"BIH")</f>
        <v>BIH</v>
      </c>
      <c r="O105" s="9"/>
      <c r="P105" s="9" t="str">
        <f ca="1">IFERROR(__xludf.DUMMYFUNCTION("""COMPUTED_VALUE"""),"Single")</f>
        <v>Single</v>
      </c>
      <c r="Q105" s="9"/>
      <c r="R105" s="9"/>
      <c r="S105" s="9" t="str">
        <f ca="1">IFERROR(__xludf.DUMMYFUNCTION("""COMPUTED_VALUE"""),"20/10/2024")</f>
        <v>20/10/2024</v>
      </c>
      <c r="T105" s="9" t="str">
        <f ca="1">IFERROR(__xludf.DUMMYFUNCTION("""COMPUTED_VALUE"""),"26/10/2024")</f>
        <v>26/10/2024</v>
      </c>
      <c r="U105" s="9">
        <f ca="1">IFERROR(__xludf.DUMMYFUNCTION("""COMPUTED_VALUE"""),6)</f>
        <v>6</v>
      </c>
      <c r="V105" s="9">
        <f ca="1">IFERROR(__xludf.DUMMYFUNCTION("""COMPUTED_VALUE"""),0)</f>
        <v>0</v>
      </c>
      <c r="W105" s="9">
        <f ca="1">IFERROR(__xludf.DUMMYFUNCTION("""COMPUTED_VALUE"""),9.6)</f>
        <v>9.6</v>
      </c>
      <c r="X105" s="9">
        <f ca="1">IFERROR(__xludf.DUMMYFUNCTION("""COMPUTED_VALUE"""),9.6)</f>
        <v>9.6</v>
      </c>
      <c r="Y105" s="9"/>
      <c r="Z105" s="9"/>
      <c r="AA105" s="9"/>
      <c r="AB105" s="9"/>
      <c r="AC105" s="9"/>
      <c r="AD105" s="20"/>
      <c r="AE105" s="10"/>
      <c r="AF105" s="11"/>
      <c r="AG105" s="11"/>
      <c r="AH105" s="11"/>
      <c r="AI105" s="11"/>
      <c r="AJ105" s="2"/>
    </row>
    <row r="106" spans="1:36" ht="14.4" customHeight="1" x14ac:dyDescent="0.25">
      <c r="A106" s="9">
        <f ca="1">IFERROR(__xludf.DUMMYFUNCTION("""COMPUTED_VALUE"""),104)</f>
        <v>104</v>
      </c>
      <c r="B106" s="9"/>
      <c r="C106" s="9"/>
      <c r="D106" s="9" t="str">
        <f ca="1">IFERROR(__xludf.DUMMYFUNCTION("""COMPUTED_VALUE"""),"22/09/2024")</f>
        <v>22/09/2024</v>
      </c>
      <c r="E106" s="23" t="str">
        <f ca="1">IFERROR(__xludf.DUMMYFUNCTION("""COMPUTED_VALUE"""),"Player")</f>
        <v>Player</v>
      </c>
      <c r="F106" s="9" t="str">
        <f ca="1">IFERROR(__xludf.DUMMYFUNCTION("""COMPUTED_VALUE"""),"Drljevic, Ljilja")</f>
        <v>Drljevic, Ljilja</v>
      </c>
      <c r="G106" s="9" t="str">
        <f ca="1">IFERROR(__xludf.DUMMYFUNCTION("""COMPUTED_VALUE"""),"SRB")</f>
        <v>SRB</v>
      </c>
      <c r="H106" s="9" t="str">
        <f ca="1">IFERROR(__xludf.DUMMYFUNCTION("""COMPUTED_VALUE"""),"WIM")</f>
        <v>WIM</v>
      </c>
      <c r="I106" s="9"/>
      <c r="J106" s="9">
        <f ca="1">IFERROR(__xludf.DUMMYFUNCTION("""COMPUTED_VALUE"""),100)</f>
        <v>100</v>
      </c>
      <c r="K106" s="9"/>
      <c r="L106" s="9"/>
      <c r="M106" s="9" t="str">
        <f ca="1">IFERROR(__xludf.DUMMYFUNCTION("""COMPUTED_VALUE"""),"Napredak")</f>
        <v>Napredak</v>
      </c>
      <c r="N106" s="9" t="str">
        <f ca="1">IFERROR(__xludf.DUMMYFUNCTION("""COMPUTED_VALUE"""),"BIH")</f>
        <v>BIH</v>
      </c>
      <c r="O106" s="9"/>
      <c r="P106" s="9" t="str">
        <f ca="1">IFERROR(__xludf.DUMMYFUNCTION("""COMPUTED_VALUE"""),"Double")</f>
        <v>Double</v>
      </c>
      <c r="Q106" s="9" t="str">
        <f ca="1">IFERROR(__xludf.DUMMYFUNCTION("""COMPUTED_VALUE"""),"Djukic Sandra")</f>
        <v>Djukic Sandra</v>
      </c>
      <c r="R106" s="9"/>
      <c r="S106" s="9" t="str">
        <f ca="1">IFERROR(__xludf.DUMMYFUNCTION("""COMPUTED_VALUE"""),"20/10/2024")</f>
        <v>20/10/2024</v>
      </c>
      <c r="T106" s="9" t="str">
        <f ca="1">IFERROR(__xludf.DUMMYFUNCTION("""COMPUTED_VALUE"""),"26/10/2024")</f>
        <v>26/10/2024</v>
      </c>
      <c r="U106" s="9">
        <f ca="1">IFERROR(__xludf.DUMMYFUNCTION("""COMPUTED_VALUE"""),6)</f>
        <v>6</v>
      </c>
      <c r="V106" s="9">
        <f ca="1">IFERROR(__xludf.DUMMYFUNCTION("""COMPUTED_VALUE"""),0)</f>
        <v>0</v>
      </c>
      <c r="W106" s="9">
        <f ca="1">IFERROR(__xludf.DUMMYFUNCTION("""COMPUTED_VALUE"""),9.6)</f>
        <v>9.6</v>
      </c>
      <c r="X106" s="9">
        <f ca="1">IFERROR(__xludf.DUMMYFUNCTION("""COMPUTED_VALUE"""),9.6)</f>
        <v>9.6</v>
      </c>
      <c r="Y106" s="9"/>
      <c r="Z106" s="9"/>
      <c r="AA106" s="9"/>
      <c r="AB106" s="9"/>
      <c r="AC106" s="9"/>
      <c r="AD106" s="20"/>
      <c r="AE106" s="10"/>
      <c r="AF106" s="11"/>
      <c r="AG106" s="11"/>
      <c r="AH106" s="11"/>
      <c r="AI106" s="11"/>
      <c r="AJ106" s="2"/>
    </row>
    <row r="107" spans="1:36" ht="14.4" customHeight="1" x14ac:dyDescent="0.25">
      <c r="A107" s="9">
        <f ca="1">IFERROR(__xludf.DUMMYFUNCTION("""COMPUTED_VALUE"""),105)</f>
        <v>105</v>
      </c>
      <c r="B107" s="9"/>
      <c r="C107" s="9"/>
      <c r="D107" s="9" t="str">
        <f ca="1">IFERROR(__xludf.DUMMYFUNCTION("""COMPUTED_VALUE"""),"22/09/2024")</f>
        <v>22/09/2024</v>
      </c>
      <c r="E107" s="23" t="str">
        <f ca="1">IFERROR(__xludf.DUMMYFUNCTION("""COMPUTED_VALUE"""),"Player")</f>
        <v>Player</v>
      </c>
      <c r="F107" s="9" t="str">
        <f ca="1">IFERROR(__xludf.DUMMYFUNCTION("""COMPUTED_VALUE"""),"Djukic, Sandra")</f>
        <v>Djukic, Sandra</v>
      </c>
      <c r="G107" s="9" t="str">
        <f ca="1">IFERROR(__xludf.DUMMYFUNCTION("""COMPUTED_VALUE"""),"SRB")</f>
        <v>SRB</v>
      </c>
      <c r="H107" s="9" t="str">
        <f ca="1">IFERROR(__xludf.DUMMYFUNCTION("""COMPUTED_VALUE"""),"WIM")</f>
        <v>WIM</v>
      </c>
      <c r="I107" s="9"/>
      <c r="J107" s="9">
        <f ca="1">IFERROR(__xludf.DUMMYFUNCTION("""COMPUTED_VALUE"""),100)</f>
        <v>100</v>
      </c>
      <c r="K107" s="9"/>
      <c r="L107" s="9"/>
      <c r="M107" s="9" t="str">
        <f ca="1">IFERROR(__xludf.DUMMYFUNCTION("""COMPUTED_VALUE"""),"Napredak")</f>
        <v>Napredak</v>
      </c>
      <c r="N107" s="9" t="str">
        <f ca="1">IFERROR(__xludf.DUMMYFUNCTION("""COMPUTED_VALUE"""),"BIH")</f>
        <v>BIH</v>
      </c>
      <c r="O107" s="9"/>
      <c r="P107" s="9" t="str">
        <f ca="1">IFERROR(__xludf.DUMMYFUNCTION("""COMPUTED_VALUE"""),"Double")</f>
        <v>Double</v>
      </c>
      <c r="Q107" s="9" t="str">
        <f ca="1">IFERROR(__xludf.DUMMYFUNCTION("""COMPUTED_VALUE"""),"Drljevic Ljilja")</f>
        <v>Drljevic Ljilja</v>
      </c>
      <c r="R107" s="9"/>
      <c r="S107" s="9" t="str">
        <f ca="1">IFERROR(__xludf.DUMMYFUNCTION("""COMPUTED_VALUE"""),"20/10/2024")</f>
        <v>20/10/2024</v>
      </c>
      <c r="T107" s="9" t="str">
        <f ca="1">IFERROR(__xludf.DUMMYFUNCTION("""COMPUTED_VALUE"""),"26/10/2024")</f>
        <v>26/10/2024</v>
      </c>
      <c r="U107" s="9">
        <f ca="1">IFERROR(__xludf.DUMMYFUNCTION("""COMPUTED_VALUE"""),6)</f>
        <v>6</v>
      </c>
      <c r="V107" s="9">
        <f ca="1">IFERROR(__xludf.DUMMYFUNCTION("""COMPUTED_VALUE"""),0)</f>
        <v>0</v>
      </c>
      <c r="W107" s="9">
        <f ca="1">IFERROR(__xludf.DUMMYFUNCTION("""COMPUTED_VALUE"""),9.6)</f>
        <v>9.6</v>
      </c>
      <c r="X107" s="9">
        <f ca="1">IFERROR(__xludf.DUMMYFUNCTION("""COMPUTED_VALUE"""),9.6)</f>
        <v>9.6</v>
      </c>
      <c r="Y107" s="9"/>
      <c r="Z107" s="9"/>
      <c r="AA107" s="9"/>
      <c r="AB107" s="9"/>
      <c r="AC107" s="9"/>
      <c r="AD107" s="20"/>
      <c r="AE107" s="10"/>
      <c r="AF107" s="11"/>
      <c r="AG107" s="11"/>
      <c r="AH107" s="11"/>
      <c r="AI107" s="11"/>
      <c r="AJ107" s="2"/>
    </row>
    <row r="108" spans="1:36" ht="14.4" customHeight="1" x14ac:dyDescent="0.25">
      <c r="A108" s="9">
        <f ca="1">IFERROR(__xludf.DUMMYFUNCTION("""COMPUTED_VALUE"""),106)</f>
        <v>106</v>
      </c>
      <c r="B108" s="9"/>
      <c r="C108" s="9"/>
      <c r="D108" s="9" t="str">
        <f ca="1">IFERROR(__xludf.DUMMYFUNCTION("""COMPUTED_VALUE"""),"22/09/2024")</f>
        <v>22/09/2024</v>
      </c>
      <c r="E108" s="23" t="str">
        <f ca="1">IFERROR(__xludf.DUMMYFUNCTION("""COMPUTED_VALUE"""),"Player")</f>
        <v>Player</v>
      </c>
      <c r="F108" s="9" t="str">
        <f ca="1">IFERROR(__xludf.DUMMYFUNCTION("""COMPUTED_VALUE"""),"Popadic, Milica")</f>
        <v>Popadic, Milica</v>
      </c>
      <c r="G108" s="9" t="str">
        <f ca="1">IFERROR(__xludf.DUMMYFUNCTION("""COMPUTED_VALUE"""),"BIH")</f>
        <v>BIH</v>
      </c>
      <c r="H108" s="9"/>
      <c r="I108" s="9"/>
      <c r="J108" s="9">
        <f ca="1">IFERROR(__xludf.DUMMYFUNCTION("""COMPUTED_VALUE"""),100)</f>
        <v>100</v>
      </c>
      <c r="K108" s="9"/>
      <c r="L108" s="9"/>
      <c r="M108" s="9" t="str">
        <f ca="1">IFERROR(__xludf.DUMMYFUNCTION("""COMPUTED_VALUE"""),"Napredak")</f>
        <v>Napredak</v>
      </c>
      <c r="N108" s="9" t="str">
        <f ca="1">IFERROR(__xludf.DUMMYFUNCTION("""COMPUTED_VALUE"""),"BIH")</f>
        <v>BIH</v>
      </c>
      <c r="O108" s="9"/>
      <c r="P108" s="9" t="str">
        <f ca="1">IFERROR(__xludf.DUMMYFUNCTION("""COMPUTED_VALUE"""),"Double")</f>
        <v>Double</v>
      </c>
      <c r="Q108" s="9" t="str">
        <f ca="1">IFERROR(__xludf.DUMMYFUNCTION("""COMPUTED_VALUE"""),"Tomic Milanka")</f>
        <v>Tomic Milanka</v>
      </c>
      <c r="R108" s="9"/>
      <c r="S108" s="9" t="str">
        <f ca="1">IFERROR(__xludf.DUMMYFUNCTION("""COMPUTED_VALUE"""),"20/10/2024")</f>
        <v>20/10/2024</v>
      </c>
      <c r="T108" s="9" t="str">
        <f ca="1">IFERROR(__xludf.DUMMYFUNCTION("""COMPUTED_VALUE"""),"26/10/2024")</f>
        <v>26/10/2024</v>
      </c>
      <c r="U108" s="9">
        <f ca="1">IFERROR(__xludf.DUMMYFUNCTION("""COMPUTED_VALUE"""),6)</f>
        <v>6</v>
      </c>
      <c r="V108" s="9">
        <f ca="1">IFERROR(__xludf.DUMMYFUNCTION("""COMPUTED_VALUE"""),0)</f>
        <v>0</v>
      </c>
      <c r="W108" s="9">
        <f ca="1">IFERROR(__xludf.DUMMYFUNCTION("""COMPUTED_VALUE"""),9.6)</f>
        <v>9.6</v>
      </c>
      <c r="X108" s="9">
        <f ca="1">IFERROR(__xludf.DUMMYFUNCTION("""COMPUTED_VALUE"""),9.6)</f>
        <v>9.6</v>
      </c>
      <c r="Y108" s="9"/>
      <c r="Z108" s="9"/>
      <c r="AA108" s="9"/>
      <c r="AB108" s="9"/>
      <c r="AC108" s="9"/>
      <c r="AD108" s="20"/>
      <c r="AE108" s="10"/>
      <c r="AF108" s="11"/>
      <c r="AG108" s="11"/>
      <c r="AH108" s="11"/>
      <c r="AI108" s="11"/>
      <c r="AJ108" s="2"/>
    </row>
    <row r="109" spans="1:36" ht="14.4" customHeight="1" x14ac:dyDescent="0.25">
      <c r="A109" s="9">
        <f ca="1">IFERROR(__xludf.DUMMYFUNCTION("""COMPUTED_VALUE"""),107)</f>
        <v>107</v>
      </c>
      <c r="B109" s="9"/>
      <c r="C109" s="9"/>
      <c r="D109" s="9" t="str">
        <f ca="1">IFERROR(__xludf.DUMMYFUNCTION("""COMPUTED_VALUE"""),"22/09/2024")</f>
        <v>22/09/2024</v>
      </c>
      <c r="E109" s="23" t="str">
        <f ca="1">IFERROR(__xludf.DUMMYFUNCTION("""COMPUTED_VALUE"""),"Player")</f>
        <v>Player</v>
      </c>
      <c r="F109" s="9" t="str">
        <f ca="1">IFERROR(__xludf.DUMMYFUNCTION("""COMPUTED_VALUE"""),"Tomic, Milanka")</f>
        <v>Tomic, Milanka</v>
      </c>
      <c r="G109" s="9" t="str">
        <f ca="1">IFERROR(__xludf.DUMMYFUNCTION("""COMPUTED_VALUE"""),"BIH")</f>
        <v>BIH</v>
      </c>
      <c r="H109" s="9"/>
      <c r="I109" s="9"/>
      <c r="J109" s="9">
        <f ca="1">IFERROR(__xludf.DUMMYFUNCTION("""COMPUTED_VALUE"""),100)</f>
        <v>100</v>
      </c>
      <c r="K109" s="9"/>
      <c r="L109" s="9"/>
      <c r="M109" s="9" t="str">
        <f ca="1">IFERROR(__xludf.DUMMYFUNCTION("""COMPUTED_VALUE"""),"Napredak")</f>
        <v>Napredak</v>
      </c>
      <c r="N109" s="9" t="str">
        <f ca="1">IFERROR(__xludf.DUMMYFUNCTION("""COMPUTED_VALUE"""),"BIH")</f>
        <v>BIH</v>
      </c>
      <c r="O109" s="9"/>
      <c r="P109" s="9" t="str">
        <f ca="1">IFERROR(__xludf.DUMMYFUNCTION("""COMPUTED_VALUE"""),"Double")</f>
        <v>Double</v>
      </c>
      <c r="Q109" s="9" t="str">
        <f ca="1">IFERROR(__xludf.DUMMYFUNCTION("""COMPUTED_VALUE"""),"Popadic Milica")</f>
        <v>Popadic Milica</v>
      </c>
      <c r="R109" s="9"/>
      <c r="S109" s="9" t="str">
        <f ca="1">IFERROR(__xludf.DUMMYFUNCTION("""COMPUTED_VALUE"""),"20/10/2024")</f>
        <v>20/10/2024</v>
      </c>
      <c r="T109" s="9" t="str">
        <f ca="1">IFERROR(__xludf.DUMMYFUNCTION("""COMPUTED_VALUE"""),"26/10/2024")</f>
        <v>26/10/2024</v>
      </c>
      <c r="U109" s="9">
        <f ca="1">IFERROR(__xludf.DUMMYFUNCTION("""COMPUTED_VALUE"""),6)</f>
        <v>6</v>
      </c>
      <c r="V109" s="9">
        <f ca="1">IFERROR(__xludf.DUMMYFUNCTION("""COMPUTED_VALUE"""),0)</f>
        <v>0</v>
      </c>
      <c r="W109" s="9">
        <f ca="1">IFERROR(__xludf.DUMMYFUNCTION("""COMPUTED_VALUE"""),9.6)</f>
        <v>9.6</v>
      </c>
      <c r="X109" s="9">
        <f ca="1">IFERROR(__xludf.DUMMYFUNCTION("""COMPUTED_VALUE"""),9.6)</f>
        <v>9.6</v>
      </c>
      <c r="Y109" s="9"/>
      <c r="Z109" s="9"/>
      <c r="AA109" s="9"/>
      <c r="AB109" s="9"/>
      <c r="AC109" s="9"/>
      <c r="AD109" s="20"/>
      <c r="AE109" s="10"/>
      <c r="AF109" s="11"/>
      <c r="AG109" s="11"/>
      <c r="AH109" s="11"/>
      <c r="AI109" s="11"/>
      <c r="AJ109" s="2"/>
    </row>
    <row r="110" spans="1:36" ht="13.2" x14ac:dyDescent="0.25">
      <c r="A110" s="9">
        <f ca="1">IFERROR(__xludf.DUMMYFUNCTION("""COMPUTED_VALUE"""),109)</f>
        <v>109</v>
      </c>
      <c r="B110" s="9"/>
      <c r="C110" s="9"/>
      <c r="D110" s="9"/>
      <c r="E110" s="23" t="s">
        <v>0</v>
      </c>
      <c r="F110" s="9" t="str">
        <f ca="1">IFERROR(__xludf.DUMMYFUNCTION("""COMPUTED_VALUE"""),"Popovic, Darko")</f>
        <v>Popovic, Darko</v>
      </c>
      <c r="G110" s="9" t="str">
        <f ca="1">IFERROR(__xludf.DUMMYFUNCTION("""COMPUTED_VALUE"""),"BIH")</f>
        <v>BIH</v>
      </c>
      <c r="H110" s="9"/>
      <c r="I110" s="9"/>
      <c r="J110" s="9">
        <f ca="1">IFERROR(__xludf.DUMMYFUNCTION("""COMPUTED_VALUE"""),100)</f>
        <v>100</v>
      </c>
      <c r="K110" s="9"/>
      <c r="L110" s="9"/>
      <c r="M110" s="9" t="str">
        <f ca="1">IFERROR(__xludf.DUMMYFUNCTION("""COMPUTED_VALUE"""),"Napredak")</f>
        <v>Napredak</v>
      </c>
      <c r="N110" s="9" t="str">
        <f ca="1">IFERROR(__xludf.DUMMYFUNCTION("""COMPUTED_VALUE"""),"BIH")</f>
        <v>BIH</v>
      </c>
      <c r="O110" s="9"/>
      <c r="P110" s="9" t="str">
        <f ca="1">IFERROR(__xludf.DUMMYFUNCTION("""COMPUTED_VALUE"""),"Single")</f>
        <v>Single</v>
      </c>
      <c r="Q110" s="9"/>
      <c r="R110" s="9"/>
      <c r="S110" s="9" t="str">
        <f ca="1">IFERROR(__xludf.DUMMYFUNCTION("""COMPUTED_VALUE"""),"20/10/2024")</f>
        <v>20/10/2024</v>
      </c>
      <c r="T110" s="9" t="str">
        <f ca="1">IFERROR(__xludf.DUMMYFUNCTION("""COMPUTED_VALUE"""),"26/10/2024")</f>
        <v>26/10/2024</v>
      </c>
      <c r="U110" s="9">
        <f ca="1">IFERROR(__xludf.DUMMYFUNCTION("""COMPUTED_VALUE"""),6)</f>
        <v>6</v>
      </c>
      <c r="V110" s="9">
        <f ca="1">IFERROR(__xludf.DUMMYFUNCTION("""COMPUTED_VALUE"""),0)</f>
        <v>0</v>
      </c>
      <c r="W110" s="9">
        <f ca="1">IFERROR(__xludf.DUMMYFUNCTION("""COMPUTED_VALUE"""),9.6)</f>
        <v>9.6</v>
      </c>
      <c r="X110" s="9">
        <f ca="1">IFERROR(__xludf.DUMMYFUNCTION("""COMPUTED_VALUE"""),9.6)</f>
        <v>9.6</v>
      </c>
      <c r="Y110" s="9"/>
      <c r="Z110" s="9"/>
      <c r="AA110" s="9"/>
      <c r="AB110" s="9"/>
      <c r="AC110" s="9"/>
      <c r="AD110" s="20"/>
      <c r="AE110" s="10"/>
      <c r="AF110" s="11"/>
      <c r="AG110" s="11"/>
      <c r="AH110" s="11"/>
      <c r="AI110" s="11"/>
      <c r="AJ110" s="2"/>
    </row>
    <row r="111" spans="1:36" ht="13.2" x14ac:dyDescent="0.25">
      <c r="A111" s="9">
        <f ca="1">IFERROR(__xludf.DUMMYFUNCTION("""COMPUTED_VALUE"""),110)</f>
        <v>110</v>
      </c>
      <c r="B111" s="9"/>
      <c r="C111" s="9"/>
      <c r="D111" s="9"/>
      <c r="E111" s="23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>
        <f ca="1">IFERROR(__xludf.DUMMYFUNCTION("""COMPUTED_VALUE"""),0)</f>
        <v>0</v>
      </c>
      <c r="W111" s="9">
        <f ca="1">IFERROR(__xludf.DUMMYFUNCTION("""COMPUTED_VALUE"""),0)</f>
        <v>0</v>
      </c>
      <c r="X111" s="9">
        <f ca="1">IFERROR(__xludf.DUMMYFUNCTION("""COMPUTED_VALUE"""),0)</f>
        <v>0</v>
      </c>
      <c r="Y111" s="9"/>
      <c r="Z111" s="9"/>
      <c r="AA111" s="9"/>
      <c r="AB111" s="9"/>
      <c r="AC111" s="9"/>
      <c r="AD111" s="20"/>
      <c r="AE111" s="10"/>
      <c r="AF111" s="11"/>
      <c r="AG111" s="11"/>
      <c r="AH111" s="11"/>
      <c r="AI111" s="11"/>
      <c r="AJ111" s="2"/>
    </row>
    <row r="112" spans="1:36" ht="13.2" x14ac:dyDescent="0.25">
      <c r="A112" s="9"/>
      <c r="B112" s="9"/>
      <c r="C112" s="9"/>
      <c r="D112" s="9"/>
      <c r="E112" s="23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>
        <f ca="1">IFERROR(__xludf.DUMMYFUNCTION("""COMPUTED_VALUE"""),0)</f>
        <v>0</v>
      </c>
      <c r="W112" s="9">
        <f ca="1">IFERROR(__xludf.DUMMYFUNCTION("""COMPUTED_VALUE"""),0)</f>
        <v>0</v>
      </c>
      <c r="X112" s="9">
        <f ca="1">IFERROR(__xludf.DUMMYFUNCTION("""COMPUTED_VALUE"""),0)</f>
        <v>0</v>
      </c>
      <c r="Y112" s="9"/>
      <c r="Z112" s="9"/>
      <c r="AA112" s="9"/>
      <c r="AB112" s="9"/>
      <c r="AC112" s="9"/>
      <c r="AD112" s="20"/>
      <c r="AE112" s="10"/>
      <c r="AF112" s="11"/>
      <c r="AG112" s="11"/>
      <c r="AH112" s="11"/>
      <c r="AI112" s="11"/>
      <c r="AJ112" s="2"/>
    </row>
    <row r="113" spans="1:36" ht="14.4" customHeight="1" x14ac:dyDescent="0.25">
      <c r="A113" s="9"/>
      <c r="B113" s="9"/>
      <c r="C113" s="9"/>
      <c r="D113" s="9"/>
      <c r="E113" s="23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  <c r="AA113" s="9"/>
      <c r="AB113" s="9"/>
      <c r="AC113" s="9"/>
      <c r="AD113" s="20"/>
      <c r="AE113" s="10"/>
      <c r="AF113" s="11"/>
      <c r="AG113" s="11"/>
      <c r="AH113" s="11"/>
      <c r="AI113" s="11"/>
      <c r="AJ113" s="2"/>
    </row>
    <row r="114" spans="1:36" ht="14.4" customHeight="1" x14ac:dyDescent="0.25">
      <c r="A114" s="9"/>
      <c r="B114" s="9"/>
      <c r="C114" s="9"/>
      <c r="D114" s="9"/>
      <c r="E114" s="23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 s="9"/>
      <c r="AB114" s="9"/>
      <c r="AC114" s="9"/>
      <c r="AD114" s="20"/>
      <c r="AE114" s="10"/>
      <c r="AF114" s="11"/>
      <c r="AG114" s="11"/>
      <c r="AH114" s="11"/>
      <c r="AI114" s="11"/>
      <c r="AJ114" s="2"/>
    </row>
    <row r="115" spans="1:36" ht="14.4" customHeight="1" x14ac:dyDescent="0.25">
      <c r="A115" s="9"/>
      <c r="B115" s="9"/>
      <c r="C115" s="9"/>
      <c r="D115" s="9"/>
      <c r="E115" s="23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  <c r="AD115" s="20"/>
      <c r="AE115" s="10"/>
      <c r="AF115" s="11"/>
      <c r="AG115" s="11"/>
      <c r="AH115" s="11"/>
      <c r="AI115" s="11"/>
      <c r="AJ115" s="2"/>
    </row>
    <row r="116" spans="1:36" ht="14.4" customHeight="1" x14ac:dyDescent="0.25">
      <c r="A116" s="9"/>
      <c r="B116" s="9"/>
      <c r="C116" s="9"/>
      <c r="D116" s="9"/>
      <c r="E116" s="23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  <c r="AA116" s="9"/>
      <c r="AB116" s="9"/>
      <c r="AC116" s="9"/>
      <c r="AD116" s="20"/>
      <c r="AE116" s="10"/>
      <c r="AF116" s="11"/>
      <c r="AG116" s="11"/>
      <c r="AH116" s="11"/>
      <c r="AI116" s="11"/>
      <c r="AJ116" s="2"/>
    </row>
    <row r="117" spans="1:36" ht="14.4" customHeight="1" x14ac:dyDescent="0.25">
      <c r="A117" s="9"/>
      <c r="B117" s="9"/>
      <c r="C117" s="9"/>
      <c r="D117" s="9"/>
      <c r="E117" s="23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  <c r="AC117" s="9"/>
      <c r="AD117" s="20"/>
      <c r="AE117" s="10"/>
      <c r="AF117" s="11"/>
      <c r="AG117" s="11"/>
      <c r="AH117" s="11"/>
      <c r="AI117" s="11"/>
      <c r="AJ117" s="2"/>
    </row>
    <row r="118" spans="1:36" ht="14.4" customHeight="1" x14ac:dyDescent="0.25">
      <c r="A118" s="9"/>
      <c r="B118" s="9"/>
      <c r="C118" s="9"/>
      <c r="D118" s="9"/>
      <c r="E118" s="23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  <c r="AD118" s="20"/>
      <c r="AE118" s="10"/>
      <c r="AF118" s="11"/>
      <c r="AG118" s="11"/>
      <c r="AH118" s="11"/>
      <c r="AI118" s="11"/>
      <c r="AJ118" s="2"/>
    </row>
    <row r="119" spans="1:36" ht="14.4" customHeight="1" x14ac:dyDescent="0.25">
      <c r="A119" s="9"/>
      <c r="B119" s="9"/>
      <c r="C119" s="9"/>
      <c r="D119" s="9"/>
      <c r="E119" s="23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9"/>
      <c r="AB119" s="9"/>
      <c r="AC119" s="9"/>
      <c r="AD119" s="20"/>
      <c r="AE119" s="10"/>
      <c r="AF119" s="11"/>
      <c r="AG119" s="11"/>
      <c r="AH119" s="11"/>
      <c r="AI119" s="11"/>
      <c r="AJ119" s="2"/>
    </row>
    <row r="120" spans="1:36" ht="14.4" customHeight="1" x14ac:dyDescent="0.25">
      <c r="A120" s="9"/>
      <c r="B120" s="9"/>
      <c r="C120" s="9"/>
      <c r="D120" s="9"/>
      <c r="E120" s="23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9"/>
      <c r="AB120" s="9"/>
      <c r="AC120" s="9"/>
      <c r="AD120" s="20"/>
      <c r="AE120" s="10"/>
      <c r="AF120" s="11"/>
      <c r="AG120" s="11"/>
      <c r="AH120" s="11"/>
      <c r="AI120" s="11"/>
      <c r="AJ120" s="2"/>
    </row>
    <row r="121" spans="1:36" ht="14.4" customHeight="1" x14ac:dyDescent="0.25">
      <c r="A121" s="9"/>
      <c r="B121" s="9"/>
      <c r="C121" s="9"/>
      <c r="D121" s="9"/>
      <c r="E121" s="23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  <c r="AD121" s="20"/>
      <c r="AE121" s="10"/>
      <c r="AF121" s="11"/>
      <c r="AG121" s="11"/>
      <c r="AH121" s="11"/>
      <c r="AI121" s="11"/>
      <c r="AJ121" s="2"/>
    </row>
    <row r="122" spans="1:36" ht="13.2" x14ac:dyDescent="0.25">
      <c r="A122" s="2"/>
      <c r="B122" s="2"/>
      <c r="C122" s="2"/>
      <c r="D122" s="2"/>
      <c r="E122" s="23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  <c r="AA122" s="9"/>
      <c r="AB122" s="9"/>
      <c r="AC122" s="9"/>
      <c r="AD122" s="20"/>
      <c r="AE122" s="10"/>
      <c r="AF122" s="11"/>
      <c r="AG122" s="11"/>
      <c r="AH122" s="11"/>
      <c r="AI122" s="11"/>
      <c r="AJ122" s="2"/>
    </row>
    <row r="123" spans="1:36" ht="13.2" x14ac:dyDescent="0.25">
      <c r="A123" s="2"/>
      <c r="B123" s="2"/>
      <c r="C123" s="2"/>
      <c r="D123" s="2"/>
      <c r="E123" s="17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1"/>
      <c r="AE123" s="5"/>
      <c r="AF123" s="6"/>
      <c r="AG123" s="6"/>
      <c r="AH123" s="6"/>
      <c r="AI123" s="6"/>
      <c r="AJ123" s="2"/>
    </row>
    <row r="124" spans="1:36" ht="13.2" x14ac:dyDescent="0.25">
      <c r="A124" s="2"/>
      <c r="B124" s="2"/>
      <c r="C124" s="2"/>
      <c r="D124" s="2"/>
      <c r="E124" s="17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1"/>
      <c r="AE124" s="5"/>
      <c r="AF124" s="6"/>
      <c r="AG124" s="6"/>
      <c r="AH124" s="6"/>
      <c r="AI124" s="6"/>
      <c r="AJ124" s="2"/>
    </row>
    <row r="125" spans="1:36" ht="13.2" x14ac:dyDescent="0.25">
      <c r="A125" s="2"/>
      <c r="B125" s="2"/>
      <c r="C125" s="2"/>
      <c r="D125" s="2"/>
      <c r="E125" s="17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1"/>
      <c r="AE125" s="5"/>
      <c r="AF125" s="6"/>
      <c r="AG125" s="6"/>
      <c r="AH125" s="6"/>
      <c r="AI125" s="6"/>
      <c r="AJ125" s="2"/>
    </row>
    <row r="126" spans="1:36" ht="13.2" x14ac:dyDescent="0.25">
      <c r="A126" s="2"/>
      <c r="B126" s="2"/>
      <c r="C126" s="2"/>
      <c r="D126" s="2"/>
      <c r="E126" s="17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1"/>
      <c r="AE126" s="5"/>
      <c r="AF126" s="6"/>
      <c r="AG126" s="6"/>
      <c r="AH126" s="6"/>
      <c r="AI126" s="6"/>
      <c r="AJ126" s="2"/>
    </row>
    <row r="127" spans="1:36" ht="13.2" x14ac:dyDescent="0.25">
      <c r="A127" s="2"/>
      <c r="B127" s="2"/>
      <c r="C127" s="2"/>
      <c r="D127" s="2"/>
      <c r="E127" s="17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1"/>
      <c r="AE127" s="5"/>
      <c r="AF127" s="6"/>
      <c r="AG127" s="6"/>
      <c r="AH127" s="6"/>
      <c r="AI127" s="6"/>
      <c r="AJ127" s="2"/>
    </row>
    <row r="128" spans="1:36" ht="13.2" x14ac:dyDescent="0.25">
      <c r="A128" s="2"/>
      <c r="B128" s="2"/>
      <c r="C128" s="2"/>
      <c r="D128" s="2"/>
      <c r="E128" s="17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1"/>
      <c r="AE128" s="5"/>
      <c r="AF128" s="6"/>
      <c r="AG128" s="6"/>
      <c r="AH128" s="6"/>
      <c r="AI128" s="6"/>
      <c r="AJ128" s="2"/>
    </row>
    <row r="129" spans="1:36" ht="13.2" x14ac:dyDescent="0.25">
      <c r="A129" s="2"/>
      <c r="B129" s="2"/>
      <c r="C129" s="2"/>
      <c r="D129" s="2"/>
      <c r="E129" s="17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1"/>
      <c r="AE129" s="5"/>
      <c r="AF129" s="6"/>
      <c r="AG129" s="6"/>
      <c r="AH129" s="6"/>
      <c r="AI129" s="6"/>
      <c r="AJ129" s="2"/>
    </row>
    <row r="130" spans="1:36" ht="13.2" x14ac:dyDescent="0.25">
      <c r="A130" s="2"/>
      <c r="B130" s="2"/>
      <c r="C130" s="2"/>
      <c r="D130" s="2"/>
      <c r="E130" s="17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1"/>
      <c r="AE130" s="5"/>
      <c r="AF130" s="6"/>
      <c r="AG130" s="6"/>
      <c r="AH130" s="6"/>
      <c r="AI130" s="6"/>
      <c r="AJ130" s="2"/>
    </row>
    <row r="131" spans="1:36" ht="13.2" x14ac:dyDescent="0.25">
      <c r="A131" s="2"/>
      <c r="B131" s="2"/>
      <c r="C131" s="2"/>
      <c r="D131" s="2"/>
      <c r="E131" s="17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1"/>
      <c r="AE131" s="5"/>
      <c r="AF131" s="6"/>
      <c r="AG131" s="6"/>
      <c r="AH131" s="6"/>
      <c r="AI131" s="6"/>
      <c r="AJ131" s="2"/>
    </row>
    <row r="132" spans="1:36" ht="13.2" x14ac:dyDescent="0.25">
      <c r="A132" s="2"/>
      <c r="B132" s="2"/>
      <c r="C132" s="2"/>
      <c r="D132" s="2"/>
      <c r="E132" s="17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1"/>
      <c r="AE132" s="5"/>
      <c r="AF132" s="6"/>
      <c r="AG132" s="6"/>
      <c r="AH132" s="6"/>
      <c r="AI132" s="6"/>
      <c r="AJ132" s="2"/>
    </row>
    <row r="133" spans="1:36" ht="13.2" x14ac:dyDescent="0.25">
      <c r="A133" s="2"/>
      <c r="B133" s="2"/>
      <c r="C133" s="2"/>
      <c r="D133" s="2"/>
      <c r="E133" s="17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1"/>
      <c r="AE133" s="5"/>
      <c r="AF133" s="6"/>
      <c r="AG133" s="6"/>
      <c r="AH133" s="6"/>
      <c r="AI133" s="6"/>
      <c r="AJ133" s="2"/>
    </row>
    <row r="134" spans="1:36" ht="13.2" x14ac:dyDescent="0.25">
      <c r="A134" s="2"/>
      <c r="B134" s="2"/>
      <c r="C134" s="2"/>
      <c r="D134" s="2"/>
      <c r="E134" s="17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1"/>
      <c r="AE134" s="5"/>
      <c r="AF134" s="6"/>
      <c r="AG134" s="6"/>
      <c r="AH134" s="6"/>
      <c r="AI134" s="6"/>
      <c r="AJ134" s="2"/>
    </row>
    <row r="135" spans="1:36" ht="13.2" x14ac:dyDescent="0.25">
      <c r="A135" s="2"/>
      <c r="B135" s="2"/>
      <c r="C135" s="2"/>
      <c r="D135" s="2"/>
      <c r="E135" s="17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1"/>
      <c r="AE135" s="5"/>
      <c r="AF135" s="6"/>
      <c r="AG135" s="6"/>
      <c r="AH135" s="6"/>
      <c r="AI135" s="6"/>
      <c r="AJ135" s="2"/>
    </row>
    <row r="136" spans="1:36" ht="13.2" x14ac:dyDescent="0.25">
      <c r="A136" s="2"/>
      <c r="B136" s="2"/>
      <c r="C136" s="2"/>
      <c r="D136" s="2"/>
      <c r="E136" s="17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1"/>
      <c r="AE136" s="5"/>
      <c r="AF136" s="6"/>
      <c r="AG136" s="6"/>
      <c r="AH136" s="6"/>
      <c r="AI136" s="6"/>
      <c r="AJ136" s="2"/>
    </row>
    <row r="137" spans="1:36" ht="13.2" x14ac:dyDescent="0.25">
      <c r="A137" s="2"/>
      <c r="B137" s="2"/>
      <c r="C137" s="2"/>
      <c r="D137" s="2"/>
      <c r="E137" s="17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1"/>
      <c r="AE137" s="5"/>
      <c r="AF137" s="6"/>
      <c r="AG137" s="6"/>
      <c r="AH137" s="6"/>
      <c r="AI137" s="6"/>
      <c r="AJ137" s="2"/>
    </row>
    <row r="138" spans="1:36" ht="13.2" x14ac:dyDescent="0.25">
      <c r="A138" s="2"/>
      <c r="B138" s="2"/>
      <c r="C138" s="2"/>
      <c r="D138" s="2"/>
      <c r="E138" s="17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1"/>
      <c r="AE138" s="5"/>
      <c r="AF138" s="6"/>
      <c r="AG138" s="6"/>
      <c r="AH138" s="6"/>
      <c r="AI138" s="6"/>
      <c r="AJ138" s="2"/>
    </row>
    <row r="139" spans="1:36" ht="13.2" x14ac:dyDescent="0.25">
      <c r="A139" s="2"/>
      <c r="B139" s="2"/>
      <c r="C139" s="2"/>
      <c r="D139" s="2"/>
      <c r="E139" s="17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1"/>
      <c r="AE139" s="5"/>
      <c r="AF139" s="6"/>
      <c r="AG139" s="6"/>
      <c r="AH139" s="6"/>
      <c r="AI139" s="6"/>
      <c r="AJ139" s="2"/>
    </row>
    <row r="140" spans="1:36" ht="13.2" x14ac:dyDescent="0.25">
      <c r="A140" s="2"/>
      <c r="B140" s="2"/>
      <c r="C140" s="2"/>
      <c r="D140" s="2"/>
      <c r="E140" s="17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1"/>
      <c r="AE140" s="5"/>
      <c r="AF140" s="6"/>
      <c r="AG140" s="6"/>
      <c r="AH140" s="6"/>
      <c r="AI140" s="6"/>
      <c r="AJ140" s="2"/>
    </row>
    <row r="141" spans="1:36" ht="13.2" x14ac:dyDescent="0.25">
      <c r="A141" s="2"/>
      <c r="B141" s="2"/>
      <c r="C141" s="2"/>
      <c r="D141" s="2"/>
      <c r="E141" s="17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1"/>
      <c r="AE141" s="5"/>
      <c r="AF141" s="6"/>
      <c r="AG141" s="6"/>
      <c r="AH141" s="6"/>
      <c r="AI141" s="6"/>
      <c r="AJ141" s="2"/>
    </row>
    <row r="142" spans="1:36" ht="13.2" x14ac:dyDescent="0.25">
      <c r="A142" s="2"/>
      <c r="B142" s="2"/>
      <c r="C142" s="2"/>
      <c r="D142" s="2"/>
      <c r="E142" s="17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1"/>
      <c r="AE142" s="5"/>
      <c r="AF142" s="6"/>
      <c r="AG142" s="6"/>
      <c r="AH142" s="6"/>
      <c r="AI142" s="6"/>
      <c r="AJ142" s="2"/>
    </row>
    <row r="143" spans="1:36" ht="13.2" x14ac:dyDescent="0.25">
      <c r="A143" s="2"/>
      <c r="B143" s="2"/>
      <c r="C143" s="2"/>
      <c r="D143" s="2"/>
      <c r="E143" s="17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1"/>
      <c r="AE143" s="5"/>
      <c r="AF143" s="6"/>
      <c r="AG143" s="6"/>
      <c r="AH143" s="6"/>
      <c r="AI143" s="6"/>
      <c r="AJ143" s="2"/>
    </row>
    <row r="144" spans="1:36" ht="13.2" x14ac:dyDescent="0.25">
      <c r="A144" s="2"/>
      <c r="B144" s="2"/>
      <c r="C144" s="2"/>
      <c r="D144" s="2"/>
      <c r="E144" s="17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1"/>
      <c r="AE144" s="5"/>
      <c r="AF144" s="6"/>
      <c r="AG144" s="6"/>
      <c r="AH144" s="6"/>
      <c r="AI144" s="6"/>
      <c r="AJ144" s="2"/>
    </row>
    <row r="145" spans="1:36" ht="13.2" x14ac:dyDescent="0.25">
      <c r="A145" s="2"/>
      <c r="B145" s="2"/>
      <c r="C145" s="2"/>
      <c r="D145" s="2"/>
      <c r="E145" s="17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1"/>
      <c r="AE145" s="5"/>
      <c r="AF145" s="6"/>
      <c r="AG145" s="6"/>
      <c r="AH145" s="6"/>
      <c r="AI145" s="6"/>
      <c r="AJ145" s="2"/>
    </row>
    <row r="146" spans="1:36" ht="13.2" x14ac:dyDescent="0.25">
      <c r="A146" s="2"/>
      <c r="B146" s="2"/>
      <c r="C146" s="2"/>
      <c r="D146" s="2"/>
      <c r="E146" s="17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1"/>
      <c r="AE146" s="5"/>
      <c r="AF146" s="6"/>
      <c r="AG146" s="6"/>
      <c r="AH146" s="6"/>
      <c r="AI146" s="6"/>
      <c r="AJ146" s="2"/>
    </row>
    <row r="147" spans="1:36" ht="13.2" x14ac:dyDescent="0.25">
      <c r="A147" s="2"/>
      <c r="B147" s="2"/>
      <c r="C147" s="2"/>
      <c r="D147" s="2"/>
      <c r="E147" s="17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1"/>
      <c r="AE147" s="5"/>
      <c r="AF147" s="6"/>
      <c r="AG147" s="6"/>
      <c r="AH147" s="6"/>
      <c r="AI147" s="6"/>
      <c r="AJ147" s="2"/>
    </row>
    <row r="148" spans="1:36" ht="13.2" x14ac:dyDescent="0.25">
      <c r="A148" s="2"/>
      <c r="B148" s="2"/>
      <c r="C148" s="2"/>
      <c r="D148" s="2"/>
      <c r="E148" s="17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1"/>
      <c r="AE148" s="5"/>
      <c r="AF148" s="6"/>
      <c r="AG148" s="6"/>
      <c r="AH148" s="6"/>
      <c r="AI148" s="6"/>
      <c r="AJ148" s="2"/>
    </row>
    <row r="149" spans="1:36" ht="13.2" x14ac:dyDescent="0.25">
      <c r="A149" s="2"/>
      <c r="B149" s="2"/>
      <c r="C149" s="2"/>
      <c r="D149" s="2"/>
      <c r="E149" s="17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1"/>
      <c r="AE149" s="5"/>
      <c r="AF149" s="6"/>
      <c r="AG149" s="6"/>
      <c r="AH149" s="6"/>
      <c r="AI149" s="6"/>
      <c r="AJ149" s="2"/>
    </row>
    <row r="150" spans="1:36" ht="13.2" x14ac:dyDescent="0.25">
      <c r="A150" s="2"/>
      <c r="B150" s="2"/>
      <c r="C150" s="2"/>
      <c r="D150" s="2"/>
      <c r="E150" s="17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1"/>
      <c r="AE150" s="5"/>
      <c r="AF150" s="6"/>
      <c r="AG150" s="6"/>
      <c r="AH150" s="6"/>
      <c r="AI150" s="6"/>
      <c r="AJ150" s="2"/>
    </row>
    <row r="151" spans="1:36" ht="13.2" x14ac:dyDescent="0.25">
      <c r="A151" s="2"/>
      <c r="B151" s="2"/>
      <c r="C151" s="2"/>
      <c r="D151" s="2"/>
      <c r="E151" s="17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1"/>
      <c r="AE151" s="5"/>
      <c r="AF151" s="6"/>
      <c r="AG151" s="6"/>
      <c r="AH151" s="6"/>
      <c r="AI151" s="6"/>
      <c r="AJ151" s="2"/>
    </row>
    <row r="152" spans="1:36" ht="13.2" x14ac:dyDescent="0.25">
      <c r="A152" s="2"/>
      <c r="B152" s="2"/>
      <c r="C152" s="2"/>
      <c r="D152" s="2"/>
      <c r="E152" s="17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1"/>
      <c r="AE152" s="5"/>
      <c r="AF152" s="6"/>
      <c r="AG152" s="6"/>
      <c r="AH152" s="6"/>
      <c r="AI152" s="6"/>
      <c r="AJ152" s="2"/>
    </row>
    <row r="153" spans="1:36" ht="13.2" x14ac:dyDescent="0.25">
      <c r="A153" s="2"/>
      <c r="B153" s="2"/>
      <c r="C153" s="2"/>
      <c r="D153" s="2"/>
      <c r="E153" s="17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1"/>
      <c r="AE153" s="5"/>
      <c r="AF153" s="6"/>
      <c r="AG153" s="6"/>
      <c r="AH153" s="6"/>
      <c r="AI153" s="6"/>
      <c r="AJ153" s="2"/>
    </row>
    <row r="154" spans="1:36" ht="13.2" x14ac:dyDescent="0.25">
      <c r="A154" s="2"/>
      <c r="B154" s="2"/>
      <c r="C154" s="2"/>
      <c r="D154" s="2"/>
      <c r="E154" s="17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1"/>
      <c r="AE154" s="5"/>
      <c r="AF154" s="6"/>
      <c r="AG154" s="6"/>
      <c r="AH154" s="6"/>
      <c r="AI154" s="6"/>
      <c r="AJ154" s="2"/>
    </row>
    <row r="155" spans="1:36" ht="13.2" x14ac:dyDescent="0.25">
      <c r="A155" s="2"/>
      <c r="B155" s="2"/>
      <c r="C155" s="2"/>
      <c r="D155" s="2"/>
      <c r="E155" s="17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1"/>
      <c r="AE155" s="5"/>
      <c r="AF155" s="6"/>
      <c r="AG155" s="6"/>
      <c r="AH155" s="6"/>
      <c r="AI155" s="6"/>
      <c r="AJ155" s="2"/>
    </row>
    <row r="156" spans="1:36" ht="13.2" x14ac:dyDescent="0.25">
      <c r="A156" s="2"/>
      <c r="B156" s="2"/>
      <c r="C156" s="2"/>
      <c r="D156" s="2"/>
      <c r="E156" s="17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1"/>
      <c r="AE156" s="5"/>
      <c r="AF156" s="6"/>
      <c r="AG156" s="6"/>
      <c r="AH156" s="6"/>
      <c r="AI156" s="6"/>
      <c r="AJ156" s="2"/>
    </row>
    <row r="157" spans="1:36" ht="13.2" x14ac:dyDescent="0.25">
      <c r="A157" s="2"/>
      <c r="B157" s="2"/>
      <c r="C157" s="2"/>
      <c r="D157" s="2"/>
      <c r="E157" s="17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1"/>
      <c r="AE157" s="5"/>
      <c r="AF157" s="6"/>
      <c r="AG157" s="6"/>
      <c r="AH157" s="6"/>
      <c r="AI157" s="6"/>
      <c r="AJ157" s="2"/>
    </row>
    <row r="158" spans="1:36" ht="13.2" x14ac:dyDescent="0.25">
      <c r="A158" s="2"/>
      <c r="B158" s="2"/>
      <c r="C158" s="2"/>
      <c r="D158" s="2"/>
      <c r="E158" s="17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1"/>
      <c r="AE158" s="5"/>
      <c r="AF158" s="6"/>
      <c r="AG158" s="6"/>
      <c r="AH158" s="6"/>
      <c r="AI158" s="6"/>
      <c r="AJ158" s="2"/>
    </row>
    <row r="159" spans="1:36" ht="13.2" x14ac:dyDescent="0.25">
      <c r="A159" s="2"/>
      <c r="B159" s="2"/>
      <c r="C159" s="2"/>
      <c r="D159" s="2"/>
      <c r="E159" s="17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1"/>
      <c r="AE159" s="5"/>
      <c r="AF159" s="6"/>
      <c r="AG159" s="6"/>
      <c r="AH159" s="6"/>
      <c r="AI159" s="6"/>
      <c r="AJ159" s="2"/>
    </row>
    <row r="160" spans="1:36" ht="13.2" x14ac:dyDescent="0.25">
      <c r="A160" s="2"/>
      <c r="B160" s="2"/>
      <c r="C160" s="2"/>
      <c r="D160" s="2"/>
      <c r="E160" s="17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1"/>
      <c r="AE160" s="5"/>
      <c r="AF160" s="6"/>
      <c r="AG160" s="6"/>
      <c r="AH160" s="6"/>
      <c r="AI160" s="6"/>
      <c r="AJ160" s="2"/>
    </row>
    <row r="161" spans="1:36" ht="13.2" x14ac:dyDescent="0.25">
      <c r="A161" s="2"/>
      <c r="B161" s="2"/>
      <c r="C161" s="2"/>
      <c r="D161" s="2"/>
      <c r="E161" s="17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1"/>
      <c r="AE161" s="5"/>
      <c r="AF161" s="6"/>
      <c r="AG161" s="6"/>
      <c r="AH161" s="6"/>
      <c r="AI161" s="6"/>
      <c r="AJ161" s="2"/>
    </row>
    <row r="162" spans="1:36" ht="13.2" x14ac:dyDescent="0.25">
      <c r="A162" s="2"/>
      <c r="B162" s="2"/>
      <c r="C162" s="2"/>
      <c r="D162" s="2"/>
      <c r="E162" s="17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1"/>
      <c r="AE162" s="5"/>
      <c r="AF162" s="6"/>
      <c r="AG162" s="6"/>
      <c r="AH162" s="6"/>
      <c r="AI162" s="6"/>
      <c r="AJ162" s="2"/>
    </row>
    <row r="163" spans="1:36" ht="13.2" x14ac:dyDescent="0.25">
      <c r="A163" s="2"/>
      <c r="B163" s="2"/>
      <c r="C163" s="2"/>
      <c r="D163" s="2"/>
      <c r="E163" s="17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1"/>
      <c r="AE163" s="5"/>
      <c r="AF163" s="6"/>
      <c r="AG163" s="6"/>
      <c r="AH163" s="6"/>
      <c r="AI163" s="6"/>
      <c r="AJ163" s="2"/>
    </row>
    <row r="164" spans="1:36" ht="13.2" x14ac:dyDescent="0.25">
      <c r="A164" s="2"/>
      <c r="B164" s="2"/>
      <c r="C164" s="2"/>
      <c r="D164" s="2"/>
      <c r="E164" s="17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1"/>
      <c r="AE164" s="5"/>
      <c r="AF164" s="6"/>
      <c r="AG164" s="6"/>
      <c r="AH164" s="6"/>
      <c r="AI164" s="6"/>
      <c r="AJ164" s="2"/>
    </row>
    <row r="165" spans="1:36" ht="13.2" x14ac:dyDescent="0.25">
      <c r="A165" s="2"/>
      <c r="B165" s="2"/>
      <c r="C165" s="2"/>
      <c r="D165" s="2"/>
      <c r="E165" s="17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1"/>
      <c r="AE165" s="5"/>
      <c r="AF165" s="6"/>
      <c r="AG165" s="6"/>
      <c r="AH165" s="6"/>
      <c r="AI165" s="6"/>
      <c r="AJ165" s="2"/>
    </row>
    <row r="166" spans="1:36" ht="13.2" x14ac:dyDescent="0.25">
      <c r="A166" s="2"/>
      <c r="B166" s="2"/>
      <c r="C166" s="2"/>
      <c r="D166" s="2"/>
      <c r="E166" s="17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1"/>
      <c r="AE166" s="5"/>
      <c r="AF166" s="6"/>
      <c r="AG166" s="6"/>
      <c r="AH166" s="6"/>
      <c r="AI166" s="6"/>
      <c r="AJ166" s="2"/>
    </row>
    <row r="167" spans="1:36" ht="13.2" x14ac:dyDescent="0.25">
      <c r="A167" s="2"/>
      <c r="B167" s="2"/>
      <c r="C167" s="2"/>
      <c r="D167" s="2"/>
      <c r="E167" s="17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1"/>
      <c r="AE167" s="5"/>
      <c r="AF167" s="6"/>
      <c r="AG167" s="6"/>
      <c r="AH167" s="6"/>
      <c r="AI167" s="6"/>
      <c r="AJ167" s="2"/>
    </row>
    <row r="168" spans="1:36" ht="13.2" x14ac:dyDescent="0.25">
      <c r="A168" s="2"/>
      <c r="B168" s="2"/>
      <c r="C168" s="2"/>
      <c r="D168" s="2"/>
      <c r="E168" s="17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1"/>
      <c r="AE168" s="5"/>
      <c r="AF168" s="6"/>
      <c r="AG168" s="6"/>
      <c r="AH168" s="6"/>
      <c r="AI168" s="6"/>
      <c r="AJ168" s="2"/>
    </row>
    <row r="169" spans="1:36" ht="13.2" x14ac:dyDescent="0.25">
      <c r="A169" s="2"/>
      <c r="B169" s="2"/>
      <c r="C169" s="2"/>
      <c r="D169" s="2"/>
      <c r="E169" s="17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1"/>
      <c r="AE169" s="5"/>
      <c r="AF169" s="6"/>
      <c r="AG169" s="6"/>
      <c r="AH169" s="6"/>
      <c r="AI169" s="6"/>
      <c r="AJ169" s="2"/>
    </row>
    <row r="170" spans="1:36" ht="13.2" x14ac:dyDescent="0.25">
      <c r="A170" s="2"/>
      <c r="B170" s="2"/>
      <c r="C170" s="2"/>
      <c r="D170" s="2"/>
      <c r="E170" s="17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1"/>
      <c r="AE170" s="5"/>
      <c r="AF170" s="6"/>
      <c r="AG170" s="6"/>
      <c r="AH170" s="6"/>
      <c r="AI170" s="6"/>
      <c r="AJ170" s="2"/>
    </row>
    <row r="171" spans="1:36" ht="13.2" x14ac:dyDescent="0.25">
      <c r="A171" s="2"/>
      <c r="B171" s="2"/>
      <c r="C171" s="2"/>
      <c r="D171" s="2"/>
      <c r="E171" s="17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1"/>
      <c r="AE171" s="5"/>
      <c r="AF171" s="6"/>
      <c r="AG171" s="6"/>
      <c r="AH171" s="6"/>
      <c r="AI171" s="6"/>
      <c r="AJ171" s="2"/>
    </row>
    <row r="172" spans="1:36" ht="13.2" x14ac:dyDescent="0.25">
      <c r="A172" s="2"/>
      <c r="B172" s="2"/>
      <c r="C172" s="2"/>
      <c r="D172" s="2"/>
      <c r="E172" s="17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1"/>
      <c r="AE172" s="5"/>
      <c r="AF172" s="6"/>
      <c r="AG172" s="6"/>
      <c r="AH172" s="6"/>
      <c r="AI172" s="6"/>
      <c r="AJ172" s="2"/>
    </row>
    <row r="173" spans="1:36" ht="13.2" x14ac:dyDescent="0.25">
      <c r="A173" s="2"/>
      <c r="B173" s="2"/>
      <c r="C173" s="2"/>
      <c r="D173" s="2"/>
      <c r="E173" s="17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1"/>
      <c r="AE173" s="5"/>
      <c r="AF173" s="6"/>
      <c r="AG173" s="6"/>
      <c r="AH173" s="6"/>
      <c r="AI173" s="6"/>
      <c r="AJ173" s="2"/>
    </row>
    <row r="174" spans="1:36" ht="13.2" x14ac:dyDescent="0.25">
      <c r="A174" s="2"/>
      <c r="B174" s="2"/>
      <c r="C174" s="2"/>
      <c r="D174" s="2"/>
      <c r="E174" s="17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1"/>
      <c r="AE174" s="5"/>
      <c r="AF174" s="6"/>
      <c r="AG174" s="6"/>
      <c r="AH174" s="6"/>
      <c r="AI174" s="6"/>
      <c r="AJ174" s="2"/>
    </row>
    <row r="175" spans="1:36" ht="13.2" x14ac:dyDescent="0.25">
      <c r="A175" s="2"/>
      <c r="B175" s="2"/>
      <c r="C175" s="2"/>
      <c r="D175" s="2"/>
      <c r="E175" s="17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1"/>
      <c r="AE175" s="5"/>
      <c r="AF175" s="6"/>
      <c r="AG175" s="6"/>
      <c r="AH175" s="6"/>
      <c r="AI175" s="6"/>
      <c r="AJ175" s="2"/>
    </row>
    <row r="176" spans="1:36" ht="13.2" x14ac:dyDescent="0.25">
      <c r="A176" s="2"/>
      <c r="B176" s="2"/>
      <c r="C176" s="2"/>
      <c r="D176" s="2"/>
      <c r="E176" s="17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1"/>
      <c r="AE176" s="5"/>
      <c r="AF176" s="6"/>
      <c r="AG176" s="6"/>
      <c r="AH176" s="6"/>
      <c r="AI176" s="6"/>
      <c r="AJ176" s="2"/>
    </row>
    <row r="177" spans="1:36" ht="13.2" x14ac:dyDescent="0.25">
      <c r="A177" s="2"/>
      <c r="B177" s="2"/>
      <c r="C177" s="2"/>
      <c r="D177" s="2"/>
      <c r="E177" s="17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1"/>
      <c r="AE177" s="5"/>
      <c r="AF177" s="6"/>
      <c r="AG177" s="6"/>
      <c r="AH177" s="6"/>
      <c r="AI177" s="6"/>
      <c r="AJ177" s="2"/>
    </row>
    <row r="178" spans="1:36" ht="13.2" x14ac:dyDescent="0.25">
      <c r="A178" s="2"/>
      <c r="B178" s="2"/>
      <c r="C178" s="2"/>
      <c r="D178" s="2"/>
      <c r="E178" s="17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1"/>
      <c r="AE178" s="5"/>
      <c r="AF178" s="6"/>
      <c r="AG178" s="6"/>
      <c r="AH178" s="6"/>
      <c r="AI178" s="6"/>
      <c r="AJ178" s="2"/>
    </row>
    <row r="179" spans="1:36" ht="13.2" x14ac:dyDescent="0.25">
      <c r="A179" s="2"/>
      <c r="B179" s="2"/>
      <c r="C179" s="2"/>
      <c r="D179" s="2"/>
      <c r="E179" s="17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1"/>
      <c r="AE179" s="5"/>
      <c r="AF179" s="6"/>
      <c r="AG179" s="6"/>
      <c r="AH179" s="6"/>
      <c r="AI179" s="6"/>
      <c r="AJ179" s="2"/>
    </row>
    <row r="180" spans="1:36" ht="13.2" x14ac:dyDescent="0.25">
      <c r="A180" s="2"/>
      <c r="B180" s="2"/>
      <c r="C180" s="2"/>
      <c r="D180" s="2"/>
      <c r="E180" s="17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1"/>
      <c r="AE180" s="5"/>
      <c r="AF180" s="6"/>
      <c r="AG180" s="6"/>
      <c r="AH180" s="6"/>
      <c r="AI180" s="6"/>
      <c r="AJ180" s="2"/>
    </row>
    <row r="181" spans="1:36" ht="13.2" x14ac:dyDescent="0.25">
      <c r="A181" s="2"/>
      <c r="B181" s="2"/>
      <c r="C181" s="2"/>
      <c r="D181" s="2"/>
      <c r="E181" s="17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1"/>
      <c r="AE181" s="5"/>
      <c r="AF181" s="6"/>
      <c r="AG181" s="6"/>
      <c r="AH181" s="6"/>
      <c r="AI181" s="6"/>
      <c r="AJ181" s="2"/>
    </row>
    <row r="182" spans="1:36" ht="13.2" x14ac:dyDescent="0.25">
      <c r="A182" s="2"/>
      <c r="B182" s="2"/>
      <c r="C182" s="2"/>
      <c r="D182" s="2"/>
      <c r="E182" s="17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1"/>
      <c r="AE182" s="5"/>
      <c r="AF182" s="6"/>
      <c r="AG182" s="6"/>
      <c r="AH182" s="6"/>
      <c r="AI182" s="6"/>
      <c r="AJ182" s="2"/>
    </row>
    <row r="183" spans="1:36" ht="13.2" x14ac:dyDescent="0.25">
      <c r="A183" s="2"/>
      <c r="B183" s="2"/>
      <c r="C183" s="2"/>
      <c r="D183" s="2"/>
      <c r="E183" s="17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1"/>
      <c r="AE183" s="5"/>
      <c r="AF183" s="6"/>
      <c r="AG183" s="6"/>
      <c r="AH183" s="6"/>
      <c r="AI183" s="6"/>
      <c r="AJ183" s="2"/>
    </row>
    <row r="184" spans="1:36" ht="13.2" x14ac:dyDescent="0.25">
      <c r="A184" s="2"/>
      <c r="B184" s="2"/>
      <c r="C184" s="2"/>
      <c r="D184" s="2"/>
      <c r="E184" s="17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1"/>
      <c r="AE184" s="5"/>
      <c r="AF184" s="6"/>
      <c r="AG184" s="6"/>
      <c r="AH184" s="6"/>
      <c r="AI184" s="6"/>
      <c r="AJ184" s="2"/>
    </row>
    <row r="185" spans="1:36" ht="13.2" x14ac:dyDescent="0.25">
      <c r="A185" s="2"/>
      <c r="B185" s="2"/>
      <c r="C185" s="2"/>
      <c r="D185" s="2"/>
      <c r="E185" s="17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1"/>
      <c r="AE185" s="5"/>
      <c r="AF185" s="6"/>
      <c r="AG185" s="6"/>
      <c r="AH185" s="6"/>
      <c r="AI185" s="6"/>
      <c r="AJ185" s="2"/>
    </row>
    <row r="186" spans="1:36" ht="13.2" x14ac:dyDescent="0.25">
      <c r="A186" s="2"/>
      <c r="B186" s="2"/>
      <c r="C186" s="2"/>
      <c r="D186" s="2"/>
      <c r="E186" s="17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1"/>
      <c r="AE186" s="5"/>
      <c r="AF186" s="6"/>
      <c r="AG186" s="6"/>
      <c r="AH186" s="6"/>
      <c r="AI186" s="6"/>
      <c r="AJ186" s="2"/>
    </row>
    <row r="187" spans="1:36" ht="13.2" x14ac:dyDescent="0.25">
      <c r="A187" s="2"/>
      <c r="B187" s="2"/>
      <c r="C187" s="2"/>
      <c r="D187" s="2"/>
      <c r="E187" s="17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1"/>
      <c r="AE187" s="5"/>
      <c r="AF187" s="6"/>
      <c r="AG187" s="6"/>
      <c r="AH187" s="6"/>
      <c r="AI187" s="6"/>
      <c r="AJ187" s="2"/>
    </row>
    <row r="188" spans="1:36" ht="13.2" x14ac:dyDescent="0.25">
      <c r="A188" s="2"/>
      <c r="B188" s="2"/>
      <c r="C188" s="2"/>
      <c r="D188" s="2"/>
      <c r="E188" s="17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1"/>
      <c r="AE188" s="5"/>
      <c r="AF188" s="6"/>
      <c r="AG188" s="6"/>
      <c r="AH188" s="6"/>
      <c r="AI188" s="6"/>
      <c r="AJ188" s="2"/>
    </row>
    <row r="189" spans="1:36" ht="13.2" x14ac:dyDescent="0.25">
      <c r="A189" s="2"/>
      <c r="B189" s="2"/>
      <c r="C189" s="2"/>
      <c r="D189" s="2"/>
      <c r="E189" s="17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1"/>
      <c r="AE189" s="5"/>
      <c r="AF189" s="6"/>
      <c r="AG189" s="6"/>
      <c r="AH189" s="6"/>
      <c r="AI189" s="6"/>
      <c r="AJ189" s="2"/>
    </row>
    <row r="190" spans="1:36" ht="13.2" x14ac:dyDescent="0.25">
      <c r="A190" s="2"/>
      <c r="B190" s="2"/>
      <c r="C190" s="2"/>
      <c r="D190" s="2"/>
      <c r="E190" s="17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1"/>
      <c r="AE190" s="5"/>
      <c r="AF190" s="6"/>
      <c r="AG190" s="6"/>
      <c r="AH190" s="6"/>
      <c r="AI190" s="6"/>
      <c r="AJ190" s="2"/>
    </row>
    <row r="191" spans="1:36" ht="13.2" x14ac:dyDescent="0.25">
      <c r="A191" s="2"/>
      <c r="B191" s="2"/>
      <c r="C191" s="2"/>
      <c r="D191" s="2"/>
      <c r="E191" s="17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1"/>
      <c r="AE191" s="5"/>
      <c r="AF191" s="6"/>
      <c r="AG191" s="6"/>
      <c r="AH191" s="6"/>
      <c r="AI191" s="6"/>
      <c r="AJ191" s="2"/>
    </row>
    <row r="192" spans="1:36" ht="13.2" x14ac:dyDescent="0.25">
      <c r="A192" s="2"/>
      <c r="B192" s="2"/>
      <c r="C192" s="2"/>
      <c r="D192" s="2"/>
      <c r="E192" s="17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1"/>
      <c r="AE192" s="5"/>
      <c r="AF192" s="6"/>
      <c r="AG192" s="6"/>
      <c r="AH192" s="6"/>
      <c r="AI192" s="6"/>
      <c r="AJ192" s="2"/>
    </row>
    <row r="193" spans="1:36" ht="13.2" x14ac:dyDescent="0.25">
      <c r="A193" s="2"/>
      <c r="B193" s="2"/>
      <c r="C193" s="2"/>
      <c r="D193" s="2"/>
      <c r="E193" s="17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1"/>
      <c r="AE193" s="5"/>
      <c r="AF193" s="6"/>
      <c r="AG193" s="6"/>
      <c r="AH193" s="6"/>
      <c r="AI193" s="6"/>
      <c r="AJ193" s="2"/>
    </row>
    <row r="194" spans="1:36" ht="13.2" x14ac:dyDescent="0.25">
      <c r="A194" s="2"/>
      <c r="B194" s="2"/>
      <c r="C194" s="2"/>
      <c r="D194" s="2"/>
      <c r="E194" s="17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1"/>
      <c r="AE194" s="5"/>
      <c r="AF194" s="6"/>
      <c r="AG194" s="6"/>
      <c r="AH194" s="6"/>
      <c r="AI194" s="6"/>
      <c r="AJ194" s="2"/>
    </row>
    <row r="195" spans="1:36" ht="13.2" x14ac:dyDescent="0.25">
      <c r="A195" s="2"/>
      <c r="B195" s="2"/>
      <c r="C195" s="2"/>
      <c r="D195" s="2"/>
      <c r="E195" s="17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1"/>
      <c r="AE195" s="5"/>
      <c r="AF195" s="6"/>
      <c r="AG195" s="6"/>
      <c r="AH195" s="6"/>
      <c r="AI195" s="6"/>
      <c r="AJ195" s="2"/>
    </row>
    <row r="196" spans="1:36" ht="13.2" x14ac:dyDescent="0.25">
      <c r="A196" s="2"/>
      <c r="B196" s="2"/>
      <c r="C196" s="2"/>
      <c r="D196" s="2"/>
      <c r="E196" s="17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1"/>
      <c r="AE196" s="5"/>
      <c r="AF196" s="6"/>
      <c r="AG196" s="6"/>
      <c r="AH196" s="6"/>
      <c r="AI196" s="6"/>
      <c r="AJ196" s="2"/>
    </row>
    <row r="197" spans="1:36" ht="13.2" x14ac:dyDescent="0.25">
      <c r="A197" s="2"/>
      <c r="B197" s="2"/>
      <c r="C197" s="2"/>
      <c r="D197" s="2"/>
      <c r="E197" s="17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1"/>
      <c r="AE197" s="5"/>
      <c r="AF197" s="6"/>
      <c r="AG197" s="6"/>
      <c r="AH197" s="6"/>
      <c r="AI197" s="6"/>
      <c r="AJ197" s="2"/>
    </row>
    <row r="198" spans="1:36" ht="13.2" x14ac:dyDescent="0.25">
      <c r="A198" s="2"/>
      <c r="B198" s="2"/>
      <c r="C198" s="2"/>
      <c r="D198" s="2"/>
      <c r="E198" s="17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1"/>
      <c r="AE198" s="5"/>
      <c r="AF198" s="6"/>
      <c r="AG198" s="6"/>
      <c r="AH198" s="6"/>
      <c r="AI198" s="6"/>
      <c r="AJ198" s="2"/>
    </row>
    <row r="199" spans="1:36" ht="13.2" x14ac:dyDescent="0.25">
      <c r="A199" s="2"/>
      <c r="B199" s="2"/>
      <c r="C199" s="2"/>
      <c r="D199" s="2"/>
      <c r="E199" s="17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1"/>
      <c r="AE199" s="5"/>
      <c r="AF199" s="6"/>
      <c r="AG199" s="6"/>
      <c r="AH199" s="6"/>
      <c r="AI199" s="6"/>
      <c r="AJ199" s="2"/>
    </row>
    <row r="200" spans="1:36" ht="13.2" x14ac:dyDescent="0.25">
      <c r="A200" s="2"/>
      <c r="B200" s="2"/>
      <c r="C200" s="2"/>
      <c r="D200" s="2"/>
      <c r="E200" s="17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1"/>
      <c r="AE200" s="5"/>
      <c r="AF200" s="6"/>
      <c r="AG200" s="6"/>
      <c r="AH200" s="6"/>
      <c r="AI200" s="6"/>
      <c r="AJ200" s="2"/>
    </row>
    <row r="201" spans="1:36" ht="13.2" x14ac:dyDescent="0.25">
      <c r="A201" s="2"/>
      <c r="B201" s="2"/>
      <c r="C201" s="2"/>
      <c r="D201" s="2"/>
      <c r="E201" s="17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1"/>
      <c r="AE201" s="5"/>
      <c r="AF201" s="6"/>
      <c r="AG201" s="6"/>
      <c r="AH201" s="6"/>
      <c r="AI201" s="6"/>
      <c r="AJ201" s="2"/>
    </row>
    <row r="202" spans="1:36" ht="13.2" x14ac:dyDescent="0.25">
      <c r="A202" s="2"/>
      <c r="B202" s="2"/>
      <c r="C202" s="2"/>
      <c r="D202" s="2"/>
      <c r="E202" s="17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1"/>
      <c r="AE202" s="5"/>
      <c r="AF202" s="6"/>
      <c r="AG202" s="6"/>
      <c r="AH202" s="6"/>
      <c r="AI202" s="6"/>
      <c r="AJ202" s="2"/>
    </row>
    <row r="203" spans="1:36" ht="13.2" x14ac:dyDescent="0.25">
      <c r="A203" s="2"/>
      <c r="B203" s="2"/>
      <c r="C203" s="2"/>
      <c r="D203" s="2"/>
      <c r="E203" s="17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1"/>
      <c r="AE203" s="5"/>
      <c r="AF203" s="6"/>
      <c r="AG203" s="6"/>
      <c r="AH203" s="6"/>
      <c r="AI203" s="6"/>
      <c r="AJ203" s="2"/>
    </row>
    <row r="204" spans="1:36" ht="13.2" x14ac:dyDescent="0.25">
      <c r="A204" s="2"/>
      <c r="B204" s="2"/>
      <c r="C204" s="2"/>
      <c r="D204" s="2"/>
      <c r="E204" s="17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1"/>
      <c r="AE204" s="5"/>
      <c r="AF204" s="6"/>
      <c r="AG204" s="6"/>
      <c r="AH204" s="6"/>
      <c r="AI204" s="6"/>
      <c r="AJ204" s="2"/>
    </row>
    <row r="205" spans="1:36" ht="13.2" x14ac:dyDescent="0.25">
      <c r="A205" s="2"/>
      <c r="B205" s="2"/>
      <c r="C205" s="2"/>
      <c r="D205" s="2"/>
      <c r="E205" s="17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1"/>
      <c r="AE205" s="5"/>
      <c r="AF205" s="6"/>
      <c r="AG205" s="6"/>
      <c r="AH205" s="6"/>
      <c r="AI205" s="6"/>
      <c r="AJ205" s="2"/>
    </row>
    <row r="206" spans="1:36" ht="13.2" x14ac:dyDescent="0.25">
      <c r="A206" s="2"/>
      <c r="B206" s="2"/>
      <c r="C206" s="2"/>
      <c r="D206" s="2"/>
      <c r="E206" s="17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1"/>
      <c r="AE206" s="5"/>
      <c r="AF206" s="6"/>
      <c r="AG206" s="6"/>
      <c r="AH206" s="6"/>
      <c r="AI206" s="6"/>
      <c r="AJ206" s="2"/>
    </row>
    <row r="207" spans="1:36" ht="13.2" x14ac:dyDescent="0.25">
      <c r="A207" s="2"/>
      <c r="B207" s="2"/>
      <c r="C207" s="2"/>
      <c r="D207" s="2"/>
      <c r="E207" s="17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1"/>
      <c r="AE207" s="5"/>
      <c r="AF207" s="6"/>
      <c r="AG207" s="6"/>
      <c r="AH207" s="6"/>
      <c r="AI207" s="6"/>
      <c r="AJ207" s="2"/>
    </row>
    <row r="208" spans="1:36" ht="13.2" x14ac:dyDescent="0.25">
      <c r="A208" s="2"/>
      <c r="B208" s="2"/>
      <c r="C208" s="2"/>
      <c r="D208" s="2"/>
      <c r="E208" s="17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1"/>
      <c r="AE208" s="5"/>
      <c r="AF208" s="6"/>
      <c r="AG208" s="6"/>
      <c r="AH208" s="6"/>
      <c r="AI208" s="6"/>
      <c r="AJ208" s="2"/>
    </row>
    <row r="209" spans="1:36" ht="13.2" x14ac:dyDescent="0.25">
      <c r="A209" s="2"/>
      <c r="B209" s="2"/>
      <c r="C209" s="2"/>
      <c r="D209" s="2"/>
      <c r="E209" s="17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1"/>
      <c r="AE209" s="5"/>
      <c r="AF209" s="6"/>
      <c r="AG209" s="6"/>
      <c r="AH209" s="6"/>
      <c r="AI209" s="6"/>
      <c r="AJ209" s="2"/>
    </row>
    <row r="210" spans="1:36" ht="13.2" x14ac:dyDescent="0.25">
      <c r="A210" s="2"/>
      <c r="B210" s="2"/>
      <c r="C210" s="2"/>
      <c r="D210" s="2"/>
      <c r="E210" s="17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1"/>
      <c r="AE210" s="5"/>
      <c r="AF210" s="6"/>
      <c r="AG210" s="6"/>
      <c r="AH210" s="6"/>
      <c r="AI210" s="6"/>
      <c r="AJ210" s="2"/>
    </row>
    <row r="211" spans="1:36" ht="13.2" x14ac:dyDescent="0.25">
      <c r="A211" s="2"/>
      <c r="B211" s="2"/>
      <c r="C211" s="2"/>
      <c r="D211" s="2"/>
      <c r="E211" s="17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1"/>
      <c r="AE211" s="5"/>
      <c r="AF211" s="6"/>
      <c r="AG211" s="6"/>
      <c r="AH211" s="6"/>
      <c r="AI211" s="6"/>
      <c r="AJ211" s="2"/>
    </row>
    <row r="212" spans="1:36" ht="13.2" x14ac:dyDescent="0.25">
      <c r="A212" s="2"/>
      <c r="B212" s="2"/>
      <c r="C212" s="2"/>
      <c r="D212" s="2"/>
      <c r="E212" s="17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1"/>
      <c r="AE212" s="5"/>
      <c r="AF212" s="6"/>
      <c r="AG212" s="6"/>
      <c r="AH212" s="6"/>
      <c r="AI212" s="6"/>
      <c r="AJ212" s="2"/>
    </row>
    <row r="213" spans="1:36" ht="13.2" x14ac:dyDescent="0.25">
      <c r="A213" s="2"/>
      <c r="B213" s="2"/>
      <c r="C213" s="2"/>
      <c r="D213" s="2"/>
      <c r="E213" s="17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1"/>
      <c r="AE213" s="5"/>
      <c r="AF213" s="6"/>
      <c r="AG213" s="6"/>
      <c r="AH213" s="6"/>
      <c r="AI213" s="6"/>
      <c r="AJ213" s="2"/>
    </row>
    <row r="214" spans="1:36" ht="13.2" x14ac:dyDescent="0.25">
      <c r="A214" s="2"/>
      <c r="B214" s="2"/>
      <c r="C214" s="2"/>
      <c r="D214" s="2"/>
      <c r="E214" s="17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1"/>
      <c r="AE214" s="5"/>
      <c r="AF214" s="6"/>
      <c r="AG214" s="6"/>
      <c r="AH214" s="6"/>
      <c r="AI214" s="6"/>
      <c r="AJ214" s="2"/>
    </row>
    <row r="215" spans="1:36" ht="13.2" x14ac:dyDescent="0.25">
      <c r="A215" s="2"/>
      <c r="B215" s="2"/>
      <c r="C215" s="2"/>
      <c r="D215" s="2"/>
      <c r="E215" s="17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1"/>
      <c r="AE215" s="5"/>
      <c r="AF215" s="6"/>
      <c r="AG215" s="6"/>
      <c r="AH215" s="6"/>
      <c r="AI215" s="6"/>
      <c r="AJ215" s="2"/>
    </row>
    <row r="216" spans="1:36" ht="13.2" x14ac:dyDescent="0.25">
      <c r="A216" s="2"/>
      <c r="B216" s="2"/>
      <c r="C216" s="2"/>
      <c r="D216" s="2"/>
      <c r="E216" s="17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1"/>
      <c r="AE216" s="5"/>
      <c r="AF216" s="6"/>
      <c r="AG216" s="6"/>
      <c r="AH216" s="6"/>
      <c r="AI216" s="6"/>
      <c r="AJ216" s="2"/>
    </row>
    <row r="217" spans="1:36" ht="13.2" x14ac:dyDescent="0.25">
      <c r="A217" s="2"/>
      <c r="B217" s="2"/>
      <c r="C217" s="2"/>
      <c r="D217" s="2"/>
      <c r="E217" s="17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1"/>
      <c r="AE217" s="5"/>
      <c r="AF217" s="6"/>
      <c r="AG217" s="6"/>
      <c r="AH217" s="6"/>
      <c r="AI217" s="6"/>
      <c r="AJ217" s="2"/>
    </row>
    <row r="218" spans="1:36" ht="13.2" x14ac:dyDescent="0.25">
      <c r="A218" s="2"/>
      <c r="B218" s="2"/>
      <c r="C218" s="2"/>
      <c r="D218" s="2"/>
      <c r="E218" s="17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1"/>
      <c r="AE218" s="5"/>
      <c r="AF218" s="6"/>
      <c r="AG218" s="6"/>
      <c r="AH218" s="6"/>
      <c r="AI218" s="6"/>
      <c r="AJ218" s="2"/>
    </row>
    <row r="219" spans="1:36" ht="13.2" x14ac:dyDescent="0.25">
      <c r="A219" s="2"/>
      <c r="B219" s="2"/>
      <c r="C219" s="2"/>
      <c r="D219" s="2"/>
      <c r="E219" s="17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1"/>
      <c r="AE219" s="5"/>
      <c r="AF219" s="6"/>
      <c r="AG219" s="6"/>
      <c r="AH219" s="6"/>
      <c r="AI219" s="6"/>
      <c r="AJ219" s="2"/>
    </row>
    <row r="220" spans="1:36" ht="13.2" x14ac:dyDescent="0.25">
      <c r="A220" s="2"/>
      <c r="B220" s="2"/>
      <c r="C220" s="2"/>
      <c r="D220" s="2"/>
      <c r="E220" s="17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1"/>
      <c r="AE220" s="5"/>
      <c r="AF220" s="6"/>
      <c r="AG220" s="6"/>
      <c r="AH220" s="6"/>
      <c r="AI220" s="6"/>
      <c r="AJ220" s="2"/>
    </row>
    <row r="221" spans="1:36" ht="13.2" x14ac:dyDescent="0.25">
      <c r="A221" s="2"/>
      <c r="B221" s="2"/>
      <c r="C221" s="2"/>
      <c r="D221" s="2"/>
      <c r="E221" s="17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1"/>
      <c r="AE221" s="5"/>
      <c r="AF221" s="6"/>
      <c r="AG221" s="6"/>
      <c r="AH221" s="6"/>
      <c r="AI221" s="6"/>
      <c r="AJ221" s="2"/>
    </row>
    <row r="222" spans="1:36" ht="13.2" x14ac:dyDescent="0.25">
      <c r="A222" s="2"/>
      <c r="B222" s="2"/>
      <c r="C222" s="2"/>
      <c r="D222" s="2"/>
      <c r="E222" s="17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1"/>
      <c r="AE222" s="5"/>
      <c r="AF222" s="6"/>
      <c r="AG222" s="6"/>
      <c r="AH222" s="6"/>
      <c r="AI222" s="6"/>
      <c r="AJ222" s="2"/>
    </row>
    <row r="223" spans="1:36" ht="13.2" x14ac:dyDescent="0.25">
      <c r="A223" s="2"/>
      <c r="B223" s="2"/>
      <c r="C223" s="2"/>
      <c r="D223" s="2"/>
      <c r="E223" s="17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1"/>
      <c r="AE223" s="5"/>
      <c r="AF223" s="6"/>
      <c r="AG223" s="6"/>
      <c r="AH223" s="6"/>
      <c r="AI223" s="6"/>
      <c r="AJ223" s="2"/>
    </row>
    <row r="224" spans="1:36" ht="13.2" x14ac:dyDescent="0.25">
      <c r="A224" s="2"/>
      <c r="B224" s="2"/>
      <c r="C224" s="2"/>
      <c r="D224" s="2"/>
      <c r="E224" s="17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1"/>
      <c r="AE224" s="5"/>
      <c r="AF224" s="6"/>
      <c r="AG224" s="6"/>
      <c r="AH224" s="6"/>
      <c r="AI224" s="6"/>
      <c r="AJ224" s="2"/>
    </row>
    <row r="225" spans="1:36" ht="13.2" x14ac:dyDescent="0.25">
      <c r="A225" s="2"/>
      <c r="B225" s="2"/>
      <c r="C225" s="2"/>
      <c r="D225" s="2"/>
      <c r="E225" s="17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1"/>
      <c r="AE225" s="5"/>
      <c r="AF225" s="6"/>
      <c r="AG225" s="6"/>
      <c r="AH225" s="6"/>
      <c r="AI225" s="6"/>
      <c r="AJ225" s="2"/>
    </row>
    <row r="226" spans="1:36" ht="13.2" x14ac:dyDescent="0.25">
      <c r="A226" s="2"/>
      <c r="B226" s="2"/>
      <c r="C226" s="2"/>
      <c r="D226" s="2"/>
      <c r="E226" s="17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1"/>
      <c r="AE226" s="5"/>
      <c r="AF226" s="6"/>
      <c r="AG226" s="6"/>
      <c r="AH226" s="6"/>
      <c r="AI226" s="6"/>
      <c r="AJ226" s="2"/>
    </row>
    <row r="227" spans="1:36" ht="13.2" x14ac:dyDescent="0.25">
      <c r="A227" s="2"/>
      <c r="B227" s="2"/>
      <c r="C227" s="2"/>
      <c r="D227" s="2"/>
      <c r="E227" s="17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1"/>
      <c r="AE227" s="5"/>
      <c r="AF227" s="6"/>
      <c r="AG227" s="6"/>
      <c r="AH227" s="6"/>
      <c r="AI227" s="6"/>
      <c r="AJ227" s="2"/>
    </row>
    <row r="228" spans="1:36" ht="13.2" x14ac:dyDescent="0.25">
      <c r="A228" s="2"/>
      <c r="B228" s="2"/>
      <c r="C228" s="2"/>
      <c r="D228" s="2"/>
      <c r="E228" s="17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1"/>
      <c r="AE228" s="5"/>
      <c r="AF228" s="6"/>
      <c r="AG228" s="6"/>
      <c r="AH228" s="6"/>
      <c r="AI228" s="6"/>
      <c r="AJ228" s="2"/>
    </row>
    <row r="229" spans="1:36" ht="13.2" x14ac:dyDescent="0.25">
      <c r="A229" s="2"/>
      <c r="B229" s="2"/>
      <c r="C229" s="2"/>
      <c r="D229" s="2"/>
      <c r="E229" s="17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1"/>
      <c r="AE229" s="5"/>
      <c r="AF229" s="6"/>
      <c r="AG229" s="6"/>
      <c r="AH229" s="6"/>
      <c r="AI229" s="6"/>
      <c r="AJ229" s="2"/>
    </row>
    <row r="230" spans="1:36" ht="13.2" x14ac:dyDescent="0.25">
      <c r="A230" s="2"/>
      <c r="B230" s="2"/>
      <c r="C230" s="2"/>
      <c r="D230" s="2"/>
      <c r="E230" s="17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1"/>
      <c r="AE230" s="5"/>
      <c r="AF230" s="6"/>
      <c r="AG230" s="6"/>
      <c r="AH230" s="6"/>
      <c r="AI230" s="6"/>
      <c r="AJ230" s="2"/>
    </row>
    <row r="231" spans="1:36" ht="13.2" x14ac:dyDescent="0.25">
      <c r="A231" s="2"/>
      <c r="B231" s="2"/>
      <c r="C231" s="2"/>
      <c r="D231" s="2"/>
      <c r="E231" s="17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1"/>
      <c r="AE231" s="5"/>
      <c r="AF231" s="6"/>
      <c r="AG231" s="6"/>
      <c r="AH231" s="6"/>
      <c r="AI231" s="6"/>
      <c r="AJ231" s="2"/>
    </row>
    <row r="232" spans="1:36" ht="13.2" x14ac:dyDescent="0.25">
      <c r="A232" s="2"/>
      <c r="B232" s="2"/>
      <c r="C232" s="2"/>
      <c r="D232" s="2"/>
      <c r="E232" s="17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1"/>
      <c r="AE232" s="5"/>
      <c r="AF232" s="6"/>
      <c r="AG232" s="6"/>
      <c r="AH232" s="6"/>
      <c r="AI232" s="6"/>
      <c r="AJ232" s="2"/>
    </row>
    <row r="233" spans="1:36" ht="13.2" x14ac:dyDescent="0.25">
      <c r="A233" s="2"/>
      <c r="B233" s="2"/>
      <c r="C233" s="2"/>
      <c r="D233" s="2"/>
      <c r="E233" s="17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1"/>
      <c r="AE233" s="5"/>
      <c r="AF233" s="6"/>
      <c r="AG233" s="6"/>
      <c r="AH233" s="6"/>
      <c r="AI233" s="6"/>
      <c r="AJ233" s="2"/>
    </row>
    <row r="234" spans="1:36" ht="13.2" x14ac:dyDescent="0.25">
      <c r="A234" s="2"/>
      <c r="B234" s="2"/>
      <c r="C234" s="2"/>
      <c r="D234" s="2"/>
      <c r="E234" s="17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1"/>
      <c r="AE234" s="5"/>
      <c r="AF234" s="6"/>
      <c r="AG234" s="6"/>
      <c r="AH234" s="6"/>
      <c r="AI234" s="6"/>
      <c r="AJ234" s="2"/>
    </row>
    <row r="235" spans="1:36" ht="13.2" x14ac:dyDescent="0.25">
      <c r="A235" s="2"/>
      <c r="B235" s="2"/>
      <c r="C235" s="2"/>
      <c r="D235" s="2"/>
      <c r="E235" s="17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1"/>
      <c r="AE235" s="5"/>
      <c r="AF235" s="6"/>
      <c r="AG235" s="6"/>
      <c r="AH235" s="6"/>
      <c r="AI235" s="6"/>
      <c r="AJ235" s="2"/>
    </row>
    <row r="236" spans="1:36" ht="13.2" x14ac:dyDescent="0.25">
      <c r="A236" s="2"/>
      <c r="B236" s="2"/>
      <c r="C236" s="2"/>
      <c r="D236" s="2"/>
      <c r="E236" s="17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1"/>
      <c r="AE236" s="5"/>
      <c r="AF236" s="6"/>
      <c r="AG236" s="6"/>
      <c r="AH236" s="6"/>
      <c r="AI236" s="6"/>
      <c r="AJ236" s="2"/>
    </row>
    <row r="237" spans="1:36" ht="13.2" x14ac:dyDescent="0.25">
      <c r="A237" s="2"/>
      <c r="B237" s="2"/>
      <c r="C237" s="2"/>
      <c r="D237" s="2"/>
      <c r="E237" s="17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1"/>
      <c r="AE237" s="5"/>
      <c r="AF237" s="6"/>
      <c r="AG237" s="6"/>
      <c r="AH237" s="6"/>
      <c r="AI237" s="6"/>
      <c r="AJ237" s="2"/>
    </row>
    <row r="238" spans="1:36" ht="13.2" x14ac:dyDescent="0.25">
      <c r="A238" s="2"/>
      <c r="B238" s="2"/>
      <c r="C238" s="2"/>
      <c r="D238" s="2"/>
      <c r="E238" s="17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1"/>
      <c r="AE238" s="5"/>
      <c r="AF238" s="6"/>
      <c r="AG238" s="6"/>
      <c r="AH238" s="6"/>
      <c r="AI238" s="6"/>
      <c r="AJ238" s="2"/>
    </row>
    <row r="239" spans="1:36" ht="13.2" x14ac:dyDescent="0.25">
      <c r="A239" s="2"/>
      <c r="B239" s="2"/>
      <c r="C239" s="2"/>
      <c r="D239" s="2"/>
      <c r="E239" s="17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1"/>
      <c r="AE239" s="5"/>
      <c r="AF239" s="6"/>
      <c r="AG239" s="6"/>
      <c r="AH239" s="6"/>
      <c r="AI239" s="6"/>
      <c r="AJ239" s="2"/>
    </row>
    <row r="240" spans="1:36" ht="13.2" x14ac:dyDescent="0.25">
      <c r="A240" s="2"/>
      <c r="B240" s="2"/>
      <c r="C240" s="2"/>
      <c r="D240" s="2"/>
      <c r="E240" s="17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1"/>
      <c r="AE240" s="5"/>
      <c r="AF240" s="6"/>
      <c r="AG240" s="6"/>
      <c r="AH240" s="6"/>
      <c r="AI240" s="6"/>
      <c r="AJ240" s="2"/>
    </row>
    <row r="241" spans="1:36" ht="13.2" x14ac:dyDescent="0.25">
      <c r="A241" s="2"/>
      <c r="B241" s="2"/>
      <c r="C241" s="2"/>
      <c r="D241" s="2"/>
      <c r="E241" s="17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1"/>
      <c r="AE241" s="5"/>
      <c r="AF241" s="6"/>
      <c r="AG241" s="6"/>
      <c r="AH241" s="6"/>
      <c r="AI241" s="6"/>
      <c r="AJ241" s="2"/>
    </row>
    <row r="242" spans="1:36" ht="13.2" x14ac:dyDescent="0.25">
      <c r="A242" s="2"/>
      <c r="B242" s="2"/>
      <c r="C242" s="2"/>
      <c r="D242" s="2"/>
      <c r="E242" s="17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1"/>
      <c r="AE242" s="5"/>
      <c r="AF242" s="6"/>
      <c r="AG242" s="6"/>
      <c r="AH242" s="6"/>
      <c r="AI242" s="6"/>
      <c r="AJ242" s="2"/>
    </row>
    <row r="243" spans="1:36" ht="13.2" x14ac:dyDescent="0.25">
      <c r="A243" s="2"/>
      <c r="B243" s="2"/>
      <c r="C243" s="2"/>
      <c r="D243" s="2"/>
      <c r="E243" s="17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1"/>
      <c r="AE243" s="5"/>
      <c r="AF243" s="6"/>
      <c r="AG243" s="6"/>
      <c r="AH243" s="6"/>
      <c r="AI243" s="6"/>
      <c r="AJ243" s="2"/>
    </row>
    <row r="244" spans="1:36" ht="13.2" x14ac:dyDescent="0.25">
      <c r="A244" s="2"/>
      <c r="B244" s="2"/>
      <c r="C244" s="2"/>
      <c r="D244" s="2"/>
      <c r="E244" s="17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1"/>
      <c r="AE244" s="5"/>
      <c r="AF244" s="6"/>
      <c r="AG244" s="6"/>
      <c r="AH244" s="6"/>
      <c r="AI244" s="6"/>
      <c r="AJ244" s="2"/>
    </row>
    <row r="245" spans="1:36" ht="13.2" x14ac:dyDescent="0.25">
      <c r="A245" s="2"/>
      <c r="B245" s="2"/>
      <c r="C245" s="2"/>
      <c r="D245" s="2"/>
      <c r="E245" s="17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1"/>
      <c r="AE245" s="5"/>
      <c r="AF245" s="6"/>
      <c r="AG245" s="6"/>
      <c r="AH245" s="6"/>
      <c r="AI245" s="6"/>
      <c r="AJ245" s="2"/>
    </row>
    <row r="246" spans="1:36" ht="13.2" x14ac:dyDescent="0.25">
      <c r="A246" s="2"/>
      <c r="B246" s="2"/>
      <c r="C246" s="2"/>
      <c r="D246" s="2"/>
      <c r="E246" s="17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1"/>
      <c r="AE246" s="5"/>
      <c r="AF246" s="6"/>
      <c r="AG246" s="6"/>
      <c r="AH246" s="6"/>
      <c r="AI246" s="6"/>
      <c r="AJ246" s="2"/>
    </row>
    <row r="247" spans="1:36" ht="13.2" x14ac:dyDescent="0.25">
      <c r="A247" s="2"/>
      <c r="B247" s="2"/>
      <c r="C247" s="2"/>
      <c r="D247" s="2"/>
      <c r="E247" s="17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1"/>
      <c r="AE247" s="5"/>
      <c r="AF247" s="6"/>
      <c r="AG247" s="6"/>
      <c r="AH247" s="6"/>
      <c r="AI247" s="6"/>
      <c r="AJ247" s="2"/>
    </row>
    <row r="248" spans="1:36" ht="13.2" x14ac:dyDescent="0.25">
      <c r="A248" s="2"/>
      <c r="B248" s="2"/>
      <c r="C248" s="2"/>
      <c r="D248" s="2"/>
      <c r="E248" s="17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1"/>
      <c r="AE248" s="5"/>
      <c r="AF248" s="6"/>
      <c r="AG248" s="6"/>
      <c r="AH248" s="6"/>
      <c r="AI248" s="6"/>
      <c r="AJ248" s="2"/>
    </row>
    <row r="249" spans="1:36" ht="13.2" x14ac:dyDescent="0.25">
      <c r="A249" s="2"/>
      <c r="B249" s="2"/>
      <c r="C249" s="2"/>
      <c r="D249" s="2"/>
      <c r="E249" s="17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1"/>
      <c r="AE249" s="5"/>
      <c r="AF249" s="6"/>
      <c r="AG249" s="6"/>
      <c r="AH249" s="6"/>
      <c r="AI249" s="6"/>
      <c r="AJ249" s="2"/>
    </row>
    <row r="250" spans="1:36" ht="13.2" x14ac:dyDescent="0.25">
      <c r="A250" s="2"/>
      <c r="B250" s="2"/>
      <c r="C250" s="2"/>
      <c r="D250" s="2"/>
      <c r="E250" s="17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1"/>
      <c r="AE250" s="5"/>
      <c r="AF250" s="6"/>
      <c r="AG250" s="6"/>
      <c r="AH250" s="6"/>
      <c r="AI250" s="6"/>
      <c r="AJ250" s="2"/>
    </row>
    <row r="251" spans="1:36" ht="13.2" x14ac:dyDescent="0.25">
      <c r="A251" s="2"/>
      <c r="B251" s="2"/>
      <c r="C251" s="2"/>
      <c r="D251" s="2"/>
      <c r="E251" s="17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1"/>
      <c r="AE251" s="5"/>
      <c r="AF251" s="6"/>
      <c r="AG251" s="6"/>
      <c r="AH251" s="6"/>
      <c r="AI251" s="6"/>
      <c r="AJ251" s="2"/>
    </row>
    <row r="252" spans="1:36" ht="13.2" x14ac:dyDescent="0.25">
      <c r="A252" s="2"/>
      <c r="B252" s="2"/>
      <c r="C252" s="2"/>
      <c r="D252" s="2"/>
      <c r="E252" s="17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1"/>
      <c r="AE252" s="5"/>
      <c r="AF252" s="6"/>
      <c r="AG252" s="6"/>
      <c r="AH252" s="6"/>
      <c r="AI252" s="6"/>
      <c r="AJ252" s="2"/>
    </row>
    <row r="253" spans="1:36" ht="13.2" x14ac:dyDescent="0.25">
      <c r="A253" s="2"/>
      <c r="B253" s="2"/>
      <c r="C253" s="2"/>
      <c r="D253" s="2"/>
      <c r="E253" s="17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1"/>
      <c r="AE253" s="5"/>
      <c r="AF253" s="6"/>
      <c r="AG253" s="6"/>
      <c r="AH253" s="6"/>
      <c r="AI253" s="6"/>
      <c r="AJ253" s="2"/>
    </row>
    <row r="254" spans="1:36" ht="13.2" x14ac:dyDescent="0.25">
      <c r="A254" s="2"/>
      <c r="B254" s="2"/>
      <c r="C254" s="2"/>
      <c r="D254" s="2"/>
      <c r="E254" s="17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1"/>
      <c r="AE254" s="5"/>
      <c r="AF254" s="6"/>
      <c r="AG254" s="6"/>
      <c r="AH254" s="6"/>
      <c r="AI254" s="6"/>
      <c r="AJ254" s="2"/>
    </row>
    <row r="255" spans="1:36" ht="13.2" x14ac:dyDescent="0.25">
      <c r="A255" s="2"/>
      <c r="B255" s="2"/>
      <c r="C255" s="2"/>
      <c r="D255" s="2"/>
      <c r="E255" s="17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1"/>
      <c r="AE255" s="5"/>
      <c r="AF255" s="6"/>
      <c r="AG255" s="6"/>
      <c r="AH255" s="6"/>
      <c r="AI255" s="6"/>
      <c r="AJ255" s="2"/>
    </row>
    <row r="256" spans="1:36" ht="13.2" x14ac:dyDescent="0.25">
      <c r="A256" s="2"/>
      <c r="B256" s="2"/>
      <c r="C256" s="2"/>
      <c r="D256" s="2"/>
      <c r="E256" s="17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1"/>
      <c r="AE256" s="5"/>
      <c r="AF256" s="6"/>
      <c r="AG256" s="6"/>
      <c r="AH256" s="6"/>
      <c r="AI256" s="6"/>
      <c r="AJ256" s="2"/>
    </row>
    <row r="257" spans="1:36" ht="13.2" x14ac:dyDescent="0.25">
      <c r="A257" s="2"/>
      <c r="B257" s="2"/>
      <c r="C257" s="2"/>
      <c r="D257" s="2"/>
      <c r="E257" s="17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1"/>
      <c r="AE257" s="5"/>
      <c r="AF257" s="6"/>
      <c r="AG257" s="6"/>
      <c r="AH257" s="6"/>
      <c r="AI257" s="6"/>
      <c r="AJ257" s="2"/>
    </row>
    <row r="258" spans="1:36" ht="13.2" x14ac:dyDescent="0.25">
      <c r="A258" s="2"/>
      <c r="B258" s="2"/>
      <c r="C258" s="2"/>
      <c r="D258" s="2"/>
      <c r="E258" s="17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1"/>
      <c r="AE258" s="5"/>
      <c r="AF258" s="6"/>
      <c r="AG258" s="6"/>
      <c r="AH258" s="6"/>
      <c r="AI258" s="6"/>
      <c r="AJ258" s="2"/>
    </row>
    <row r="259" spans="1:36" ht="13.2" x14ac:dyDescent="0.25">
      <c r="A259" s="2"/>
      <c r="B259" s="2"/>
      <c r="C259" s="2"/>
      <c r="D259" s="2"/>
      <c r="E259" s="17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1"/>
      <c r="AE259" s="5"/>
      <c r="AF259" s="6"/>
      <c r="AG259" s="6"/>
      <c r="AH259" s="6"/>
      <c r="AI259" s="6"/>
      <c r="AJ259" s="2"/>
    </row>
    <row r="260" spans="1:36" ht="13.2" x14ac:dyDescent="0.25">
      <c r="A260" s="2"/>
      <c r="B260" s="2"/>
      <c r="C260" s="2"/>
      <c r="D260" s="2"/>
      <c r="E260" s="17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1"/>
      <c r="AE260" s="5"/>
      <c r="AF260" s="6"/>
      <c r="AG260" s="6"/>
      <c r="AH260" s="6"/>
      <c r="AI260" s="6"/>
      <c r="AJ260" s="2"/>
    </row>
    <row r="261" spans="1:36" ht="13.2" x14ac:dyDescent="0.25">
      <c r="A261" s="2"/>
      <c r="B261" s="2"/>
      <c r="C261" s="2"/>
      <c r="D261" s="2"/>
      <c r="E261" s="17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1"/>
      <c r="AE261" s="5"/>
      <c r="AF261" s="6"/>
      <c r="AG261" s="6"/>
      <c r="AH261" s="6"/>
      <c r="AI261" s="6"/>
      <c r="AJ261" s="2"/>
    </row>
    <row r="262" spans="1:36" ht="13.2" x14ac:dyDescent="0.25">
      <c r="A262" s="2"/>
      <c r="B262" s="2"/>
      <c r="C262" s="2"/>
      <c r="D262" s="2"/>
      <c r="E262" s="17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1"/>
      <c r="AE262" s="5"/>
      <c r="AF262" s="6"/>
      <c r="AG262" s="6"/>
      <c r="AH262" s="6"/>
      <c r="AI262" s="6"/>
      <c r="AJ262" s="2"/>
    </row>
    <row r="263" spans="1:36" ht="13.2" x14ac:dyDescent="0.25">
      <c r="A263" s="2"/>
      <c r="B263" s="2"/>
      <c r="C263" s="2"/>
      <c r="D263" s="2"/>
      <c r="E263" s="17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1"/>
      <c r="AE263" s="5"/>
      <c r="AF263" s="6"/>
      <c r="AG263" s="6"/>
      <c r="AH263" s="6"/>
      <c r="AI263" s="6"/>
      <c r="AJ263" s="2"/>
    </row>
    <row r="264" spans="1:36" ht="13.2" x14ac:dyDescent="0.25">
      <c r="A264" s="2"/>
      <c r="B264" s="2"/>
      <c r="C264" s="2"/>
      <c r="D264" s="2"/>
      <c r="E264" s="17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1"/>
      <c r="AE264" s="5"/>
      <c r="AF264" s="6"/>
      <c r="AG264" s="6"/>
      <c r="AH264" s="6"/>
      <c r="AI264" s="6"/>
      <c r="AJ264" s="2"/>
    </row>
    <row r="265" spans="1:36" ht="13.2" x14ac:dyDescent="0.25">
      <c r="A265" s="2"/>
      <c r="B265" s="2"/>
      <c r="C265" s="2"/>
      <c r="D265" s="2"/>
      <c r="E265" s="17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1"/>
      <c r="AE265" s="5"/>
      <c r="AF265" s="6"/>
      <c r="AG265" s="6"/>
      <c r="AH265" s="6"/>
      <c r="AI265" s="6"/>
      <c r="AJ265" s="2"/>
    </row>
    <row r="266" spans="1:36" ht="13.2" x14ac:dyDescent="0.25">
      <c r="A266" s="2"/>
      <c r="B266" s="2"/>
      <c r="C266" s="2"/>
      <c r="D266" s="2"/>
      <c r="E266" s="17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1"/>
      <c r="AE266" s="5"/>
      <c r="AF266" s="6"/>
      <c r="AG266" s="6"/>
      <c r="AH266" s="6"/>
      <c r="AI266" s="6"/>
      <c r="AJ266" s="2"/>
    </row>
    <row r="267" spans="1:36" ht="13.2" x14ac:dyDescent="0.25">
      <c r="A267" s="2"/>
      <c r="B267" s="2"/>
      <c r="C267" s="2"/>
      <c r="D267" s="2"/>
      <c r="E267" s="17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1"/>
      <c r="AE267" s="5"/>
      <c r="AF267" s="6"/>
      <c r="AG267" s="6"/>
      <c r="AH267" s="6"/>
      <c r="AI267" s="6"/>
      <c r="AJ267" s="2"/>
    </row>
    <row r="268" spans="1:36" ht="13.2" x14ac:dyDescent="0.25">
      <c r="A268" s="2"/>
      <c r="B268" s="2"/>
      <c r="C268" s="2"/>
      <c r="D268" s="2"/>
      <c r="E268" s="17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1"/>
      <c r="AE268" s="5"/>
      <c r="AF268" s="6"/>
      <c r="AG268" s="6"/>
      <c r="AH268" s="6"/>
      <c r="AI268" s="6"/>
      <c r="AJ268" s="2"/>
    </row>
    <row r="269" spans="1:36" ht="13.2" x14ac:dyDescent="0.25">
      <c r="A269" s="2"/>
      <c r="B269" s="2"/>
      <c r="C269" s="2"/>
      <c r="D269" s="2"/>
      <c r="E269" s="17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1"/>
      <c r="AE269" s="5"/>
      <c r="AF269" s="6"/>
      <c r="AG269" s="6"/>
      <c r="AH269" s="6"/>
      <c r="AI269" s="6"/>
      <c r="AJ269" s="2"/>
    </row>
    <row r="270" spans="1:36" ht="13.2" x14ac:dyDescent="0.25">
      <c r="A270" s="2"/>
      <c r="B270" s="2"/>
      <c r="C270" s="2"/>
      <c r="D270" s="2"/>
      <c r="E270" s="17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1"/>
      <c r="AE270" s="5"/>
      <c r="AF270" s="6"/>
      <c r="AG270" s="6"/>
      <c r="AH270" s="6"/>
      <c r="AI270" s="6"/>
      <c r="AJ270" s="2"/>
    </row>
    <row r="271" spans="1:36" ht="13.2" x14ac:dyDescent="0.25">
      <c r="A271" s="2"/>
      <c r="B271" s="2"/>
      <c r="C271" s="2"/>
      <c r="D271" s="2"/>
      <c r="E271" s="17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1"/>
      <c r="AE271" s="5"/>
      <c r="AF271" s="6"/>
      <c r="AG271" s="6"/>
      <c r="AH271" s="6"/>
      <c r="AI271" s="6"/>
      <c r="AJ271" s="2"/>
    </row>
    <row r="272" spans="1:36" ht="13.2" x14ac:dyDescent="0.25">
      <c r="A272" s="2"/>
      <c r="B272" s="2"/>
      <c r="C272" s="2"/>
      <c r="D272" s="2"/>
      <c r="E272" s="17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1"/>
      <c r="AE272" s="5"/>
      <c r="AF272" s="6"/>
      <c r="AG272" s="6"/>
      <c r="AH272" s="6"/>
      <c r="AI272" s="6"/>
      <c r="AJ272" s="2"/>
    </row>
    <row r="273" spans="1:36" ht="13.2" x14ac:dyDescent="0.25">
      <c r="A273" s="2"/>
      <c r="B273" s="2"/>
      <c r="C273" s="2"/>
      <c r="D273" s="2"/>
      <c r="E273" s="17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1"/>
      <c r="AE273" s="5"/>
      <c r="AF273" s="6"/>
      <c r="AG273" s="6"/>
      <c r="AH273" s="6"/>
      <c r="AI273" s="6"/>
      <c r="AJ273" s="2"/>
    </row>
    <row r="274" spans="1:36" ht="13.2" x14ac:dyDescent="0.25">
      <c r="A274" s="2"/>
      <c r="B274" s="2"/>
      <c r="C274" s="2"/>
      <c r="D274" s="2"/>
      <c r="E274" s="17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1"/>
      <c r="AE274" s="5"/>
      <c r="AF274" s="6"/>
      <c r="AG274" s="6"/>
      <c r="AH274" s="6"/>
      <c r="AI274" s="6"/>
      <c r="AJ274" s="2"/>
    </row>
    <row r="275" spans="1:36" ht="13.2" x14ac:dyDescent="0.25">
      <c r="A275" s="2"/>
      <c r="B275" s="2"/>
      <c r="C275" s="2"/>
      <c r="D275" s="2"/>
      <c r="E275" s="17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1"/>
      <c r="AE275" s="5"/>
      <c r="AF275" s="6"/>
      <c r="AG275" s="6"/>
      <c r="AH275" s="6"/>
      <c r="AI275" s="6"/>
      <c r="AJ275" s="2"/>
    </row>
    <row r="276" spans="1:36" ht="13.2" x14ac:dyDescent="0.25">
      <c r="A276" s="2"/>
      <c r="B276" s="2"/>
      <c r="C276" s="2"/>
      <c r="D276" s="2"/>
      <c r="E276" s="17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1"/>
      <c r="AE276" s="5"/>
      <c r="AF276" s="6"/>
      <c r="AG276" s="6"/>
      <c r="AH276" s="6"/>
      <c r="AI276" s="6"/>
      <c r="AJ276" s="2"/>
    </row>
    <row r="277" spans="1:36" ht="13.2" x14ac:dyDescent="0.25">
      <c r="A277" s="2"/>
      <c r="B277" s="2"/>
      <c r="C277" s="2"/>
      <c r="D277" s="2"/>
      <c r="E277" s="17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1"/>
      <c r="AE277" s="5"/>
      <c r="AF277" s="6"/>
      <c r="AG277" s="6"/>
      <c r="AH277" s="6"/>
      <c r="AI277" s="6"/>
      <c r="AJ277" s="2"/>
    </row>
    <row r="278" spans="1:36" ht="13.2" x14ac:dyDescent="0.25">
      <c r="A278" s="2"/>
      <c r="B278" s="2"/>
      <c r="C278" s="2"/>
      <c r="D278" s="2"/>
      <c r="E278" s="17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1"/>
      <c r="AE278" s="5"/>
      <c r="AF278" s="6"/>
      <c r="AG278" s="6"/>
      <c r="AH278" s="6"/>
      <c r="AI278" s="6"/>
      <c r="AJ278" s="2"/>
    </row>
    <row r="279" spans="1:36" ht="13.2" x14ac:dyDescent="0.25">
      <c r="A279" s="2"/>
      <c r="B279" s="2"/>
      <c r="C279" s="2"/>
      <c r="D279" s="2"/>
      <c r="E279" s="17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1"/>
      <c r="AE279" s="5"/>
      <c r="AF279" s="6"/>
      <c r="AG279" s="6"/>
      <c r="AH279" s="6"/>
      <c r="AI279" s="6"/>
      <c r="AJ279" s="2"/>
    </row>
    <row r="280" spans="1:36" ht="13.2" x14ac:dyDescent="0.25">
      <c r="A280" s="2"/>
      <c r="B280" s="2"/>
      <c r="C280" s="2"/>
      <c r="D280" s="2"/>
      <c r="E280" s="17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1"/>
      <c r="AE280" s="5"/>
      <c r="AF280" s="6"/>
      <c r="AG280" s="6"/>
      <c r="AH280" s="6"/>
      <c r="AI280" s="6"/>
      <c r="AJ280" s="2"/>
    </row>
    <row r="281" spans="1:36" ht="13.2" x14ac:dyDescent="0.25">
      <c r="A281" s="2"/>
      <c r="B281" s="2"/>
      <c r="C281" s="2"/>
      <c r="D281" s="2"/>
      <c r="E281" s="17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1"/>
      <c r="AE281" s="5"/>
      <c r="AF281" s="6"/>
      <c r="AG281" s="6"/>
      <c r="AH281" s="6"/>
      <c r="AI281" s="6"/>
      <c r="AJ281" s="2"/>
    </row>
    <row r="282" spans="1:36" ht="13.2" x14ac:dyDescent="0.25">
      <c r="A282" s="2"/>
      <c r="B282" s="2"/>
      <c r="C282" s="2"/>
      <c r="D282" s="2"/>
      <c r="E282" s="17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1"/>
      <c r="AE282" s="5"/>
      <c r="AF282" s="6"/>
      <c r="AG282" s="6"/>
      <c r="AH282" s="6"/>
      <c r="AI282" s="6"/>
      <c r="AJ282" s="2"/>
    </row>
    <row r="283" spans="1:36" ht="13.2" x14ac:dyDescent="0.25">
      <c r="A283" s="2"/>
      <c r="B283" s="2"/>
      <c r="C283" s="2"/>
      <c r="D283" s="2"/>
      <c r="E283" s="17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1"/>
      <c r="AE283" s="5"/>
      <c r="AF283" s="6"/>
      <c r="AG283" s="6"/>
      <c r="AH283" s="6"/>
      <c r="AI283" s="6"/>
      <c r="AJ283" s="2"/>
    </row>
    <row r="284" spans="1:36" ht="13.2" x14ac:dyDescent="0.25">
      <c r="A284" s="2"/>
      <c r="B284" s="2"/>
      <c r="C284" s="2"/>
      <c r="D284" s="2"/>
      <c r="E284" s="17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1"/>
      <c r="AE284" s="5"/>
      <c r="AF284" s="6"/>
      <c r="AG284" s="6"/>
      <c r="AH284" s="6"/>
      <c r="AI284" s="6"/>
      <c r="AJ284" s="2"/>
    </row>
    <row r="285" spans="1:36" ht="13.2" x14ac:dyDescent="0.25">
      <c r="A285" s="2"/>
      <c r="B285" s="2"/>
      <c r="C285" s="2"/>
      <c r="D285" s="2"/>
      <c r="E285" s="17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1"/>
      <c r="AE285" s="5"/>
      <c r="AF285" s="6"/>
      <c r="AG285" s="6"/>
      <c r="AH285" s="6"/>
      <c r="AI285" s="6"/>
      <c r="AJ285" s="2"/>
    </row>
    <row r="286" spans="1:36" ht="13.2" x14ac:dyDescent="0.25">
      <c r="A286" s="2"/>
      <c r="B286" s="2"/>
      <c r="C286" s="2"/>
      <c r="D286" s="2"/>
      <c r="E286" s="17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1"/>
      <c r="AE286" s="5"/>
      <c r="AF286" s="6"/>
      <c r="AG286" s="6"/>
      <c r="AH286" s="6"/>
      <c r="AI286" s="6"/>
      <c r="AJ286" s="2"/>
    </row>
    <row r="287" spans="1:36" ht="13.2" x14ac:dyDescent="0.25">
      <c r="A287" s="2"/>
      <c r="B287" s="2"/>
      <c r="C287" s="2"/>
      <c r="D287" s="2"/>
      <c r="E287" s="17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1"/>
      <c r="AE287" s="5"/>
      <c r="AF287" s="6"/>
      <c r="AG287" s="6"/>
      <c r="AH287" s="6"/>
      <c r="AI287" s="6"/>
      <c r="AJ287" s="2"/>
    </row>
    <row r="288" spans="1:36" ht="13.2" x14ac:dyDescent="0.25">
      <c r="A288" s="2"/>
      <c r="B288" s="2"/>
      <c r="C288" s="2"/>
      <c r="D288" s="2"/>
      <c r="E288" s="17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1"/>
      <c r="AE288" s="5"/>
      <c r="AF288" s="6"/>
      <c r="AG288" s="6"/>
      <c r="AH288" s="6"/>
      <c r="AI288" s="6"/>
      <c r="AJ288" s="2"/>
    </row>
    <row r="289" spans="1:36" ht="13.2" x14ac:dyDescent="0.25">
      <c r="A289" s="2"/>
      <c r="B289" s="2"/>
      <c r="C289" s="2"/>
      <c r="D289" s="2"/>
      <c r="E289" s="17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1"/>
      <c r="AE289" s="5"/>
      <c r="AF289" s="6"/>
      <c r="AG289" s="6"/>
      <c r="AH289" s="6"/>
      <c r="AI289" s="6"/>
      <c r="AJ289" s="2"/>
    </row>
    <row r="290" spans="1:36" ht="13.2" x14ac:dyDescent="0.25">
      <c r="A290" s="2"/>
      <c r="B290" s="2"/>
      <c r="C290" s="2"/>
      <c r="D290" s="2"/>
      <c r="E290" s="17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1"/>
      <c r="AE290" s="5"/>
      <c r="AF290" s="6"/>
      <c r="AG290" s="6"/>
      <c r="AH290" s="6"/>
      <c r="AI290" s="6"/>
      <c r="AJ290" s="2"/>
    </row>
    <row r="291" spans="1:36" ht="13.2" x14ac:dyDescent="0.25">
      <c r="A291" s="2"/>
      <c r="B291" s="2"/>
      <c r="C291" s="2"/>
      <c r="D291" s="2"/>
      <c r="E291" s="17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1"/>
      <c r="AE291" s="5"/>
      <c r="AF291" s="6"/>
      <c r="AG291" s="6"/>
      <c r="AH291" s="6"/>
      <c r="AI291" s="6"/>
      <c r="AJ291" s="2"/>
    </row>
    <row r="292" spans="1:36" ht="13.2" x14ac:dyDescent="0.25">
      <c r="A292" s="2"/>
      <c r="B292" s="2"/>
      <c r="C292" s="2"/>
      <c r="D292" s="2"/>
      <c r="E292" s="17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1"/>
      <c r="AE292" s="5"/>
      <c r="AF292" s="6"/>
      <c r="AG292" s="6"/>
      <c r="AH292" s="6"/>
      <c r="AI292" s="6"/>
      <c r="AJ292" s="2"/>
    </row>
    <row r="293" spans="1:36" ht="13.2" x14ac:dyDescent="0.25">
      <c r="A293" s="2"/>
      <c r="B293" s="2"/>
      <c r="C293" s="2"/>
      <c r="D293" s="2"/>
      <c r="E293" s="17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1"/>
      <c r="AE293" s="5"/>
      <c r="AF293" s="6"/>
      <c r="AG293" s="6"/>
      <c r="AH293" s="6"/>
      <c r="AI293" s="6"/>
      <c r="AJ293" s="2"/>
    </row>
    <row r="294" spans="1:36" ht="13.2" x14ac:dyDescent="0.25">
      <c r="A294" s="2"/>
      <c r="B294" s="2"/>
      <c r="C294" s="2"/>
      <c r="D294" s="2"/>
      <c r="E294" s="17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1"/>
      <c r="AE294" s="5"/>
      <c r="AF294" s="6"/>
      <c r="AG294" s="6"/>
      <c r="AH294" s="6"/>
      <c r="AI294" s="6"/>
      <c r="AJ294" s="2"/>
    </row>
    <row r="295" spans="1:36" ht="13.2" x14ac:dyDescent="0.25">
      <c r="A295" s="2"/>
      <c r="B295" s="2"/>
      <c r="C295" s="2"/>
      <c r="D295" s="2"/>
      <c r="E295" s="17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1"/>
      <c r="AE295" s="5"/>
      <c r="AF295" s="6"/>
      <c r="AG295" s="6"/>
      <c r="AH295" s="6"/>
      <c r="AI295" s="6"/>
      <c r="AJ295" s="2"/>
    </row>
    <row r="296" spans="1:36" ht="13.2" x14ac:dyDescent="0.25">
      <c r="A296" s="2"/>
      <c r="B296" s="2"/>
      <c r="C296" s="2"/>
      <c r="D296" s="2"/>
      <c r="E296" s="17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1"/>
      <c r="AE296" s="5"/>
      <c r="AF296" s="6"/>
      <c r="AG296" s="6"/>
      <c r="AH296" s="6"/>
      <c r="AI296" s="6"/>
      <c r="AJ296" s="2"/>
    </row>
    <row r="297" spans="1:36" ht="13.2" x14ac:dyDescent="0.25">
      <c r="A297" s="2"/>
      <c r="B297" s="2"/>
      <c r="C297" s="2"/>
      <c r="D297" s="2"/>
      <c r="E297" s="17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1"/>
      <c r="AE297" s="5"/>
      <c r="AF297" s="6"/>
      <c r="AG297" s="6"/>
      <c r="AH297" s="6"/>
      <c r="AI297" s="6"/>
      <c r="AJ297" s="2"/>
    </row>
    <row r="298" spans="1:36" ht="13.2" x14ac:dyDescent="0.25">
      <c r="A298" s="2"/>
      <c r="B298" s="2"/>
      <c r="C298" s="2"/>
      <c r="D298" s="2"/>
      <c r="E298" s="17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1"/>
      <c r="AE298" s="5"/>
      <c r="AF298" s="6"/>
      <c r="AG298" s="6"/>
      <c r="AH298" s="6"/>
      <c r="AI298" s="6"/>
      <c r="AJ298" s="2"/>
    </row>
    <row r="299" spans="1:36" ht="13.2" x14ac:dyDescent="0.25">
      <c r="A299" s="2"/>
      <c r="B299" s="2"/>
      <c r="C299" s="2"/>
      <c r="D299" s="2"/>
      <c r="E299" s="17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1"/>
      <c r="AE299" s="5"/>
      <c r="AF299" s="6"/>
      <c r="AG299" s="6"/>
      <c r="AH299" s="6"/>
      <c r="AI299" s="6"/>
      <c r="AJ299" s="2"/>
    </row>
    <row r="300" spans="1:36" ht="13.2" x14ac:dyDescent="0.25">
      <c r="A300" s="2"/>
      <c r="B300" s="2"/>
      <c r="C300" s="2"/>
      <c r="D300" s="2"/>
      <c r="E300" s="17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1"/>
      <c r="AE300" s="5"/>
      <c r="AF300" s="6"/>
      <c r="AG300" s="6"/>
      <c r="AH300" s="6"/>
      <c r="AI300" s="6"/>
      <c r="AJ300" s="2"/>
    </row>
    <row r="301" spans="1:36" ht="13.2" x14ac:dyDescent="0.25">
      <c r="A301" s="2"/>
      <c r="B301" s="2"/>
      <c r="C301" s="2"/>
      <c r="D301" s="2"/>
      <c r="E301" s="17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1"/>
      <c r="AE301" s="5"/>
      <c r="AF301" s="6"/>
      <c r="AG301" s="6"/>
      <c r="AH301" s="6"/>
      <c r="AI301" s="6"/>
      <c r="AJ301" s="2"/>
    </row>
    <row r="302" spans="1:36" ht="13.2" x14ac:dyDescent="0.25">
      <c r="A302" s="2"/>
      <c r="B302" s="2"/>
      <c r="C302" s="2"/>
      <c r="D302" s="2"/>
      <c r="E302" s="17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1"/>
      <c r="AE302" s="5"/>
      <c r="AF302" s="6"/>
      <c r="AG302" s="6"/>
      <c r="AH302" s="6"/>
      <c r="AI302" s="6"/>
      <c r="AJ302" s="2"/>
    </row>
    <row r="303" spans="1:36" ht="13.2" x14ac:dyDescent="0.25">
      <c r="A303" s="2"/>
      <c r="B303" s="2"/>
      <c r="C303" s="2"/>
      <c r="D303" s="2"/>
      <c r="E303" s="17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1"/>
      <c r="AE303" s="5"/>
      <c r="AF303" s="6"/>
      <c r="AG303" s="6"/>
      <c r="AH303" s="6"/>
      <c r="AI303" s="6"/>
      <c r="AJ303" s="2"/>
    </row>
    <row r="304" spans="1:36" ht="13.2" x14ac:dyDescent="0.25">
      <c r="A304" s="2"/>
      <c r="B304" s="2"/>
      <c r="C304" s="2"/>
      <c r="D304" s="2"/>
      <c r="E304" s="17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1"/>
      <c r="AE304" s="5"/>
      <c r="AF304" s="6"/>
      <c r="AG304" s="6"/>
      <c r="AH304" s="6"/>
      <c r="AI304" s="6"/>
      <c r="AJ304" s="2"/>
    </row>
    <row r="305" spans="1:36" ht="13.2" x14ac:dyDescent="0.25">
      <c r="A305" s="2"/>
      <c r="B305" s="2"/>
      <c r="C305" s="2"/>
      <c r="D305" s="2"/>
      <c r="E305" s="17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1"/>
      <c r="AE305" s="5"/>
      <c r="AF305" s="6"/>
      <c r="AG305" s="6"/>
      <c r="AH305" s="6"/>
      <c r="AI305" s="6"/>
      <c r="AJ305" s="2"/>
    </row>
    <row r="306" spans="1:36" ht="13.2" x14ac:dyDescent="0.25">
      <c r="A306" s="2"/>
      <c r="B306" s="2"/>
      <c r="C306" s="2"/>
      <c r="D306" s="2"/>
      <c r="E306" s="17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1"/>
      <c r="AE306" s="5"/>
      <c r="AF306" s="6"/>
      <c r="AG306" s="6"/>
      <c r="AH306" s="6"/>
      <c r="AI306" s="6"/>
      <c r="AJ306" s="2"/>
    </row>
    <row r="307" spans="1:36" ht="13.2" x14ac:dyDescent="0.25">
      <c r="A307" s="2"/>
      <c r="B307" s="2"/>
      <c r="C307" s="2"/>
      <c r="D307" s="2"/>
      <c r="E307" s="17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1"/>
      <c r="AE307" s="5"/>
      <c r="AF307" s="6"/>
      <c r="AG307" s="6"/>
      <c r="AH307" s="6"/>
      <c r="AI307" s="6"/>
      <c r="AJ307" s="2"/>
    </row>
    <row r="308" spans="1:36" ht="13.2" x14ac:dyDescent="0.25">
      <c r="A308" s="2"/>
      <c r="B308" s="2"/>
      <c r="C308" s="2"/>
      <c r="D308" s="2"/>
      <c r="E308" s="17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1"/>
      <c r="AE308" s="5"/>
      <c r="AF308" s="6"/>
      <c r="AG308" s="6"/>
      <c r="AH308" s="6"/>
      <c r="AI308" s="6"/>
      <c r="AJ308" s="2"/>
    </row>
    <row r="309" spans="1:36" ht="13.2" x14ac:dyDescent="0.25">
      <c r="A309" s="2"/>
      <c r="B309" s="2"/>
      <c r="C309" s="2"/>
      <c r="D309" s="2"/>
      <c r="E309" s="17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1"/>
      <c r="AE309" s="5"/>
      <c r="AF309" s="6"/>
      <c r="AG309" s="6"/>
      <c r="AH309" s="6"/>
      <c r="AI309" s="6"/>
      <c r="AJ309" s="2"/>
    </row>
    <row r="310" spans="1:36" ht="13.2" x14ac:dyDescent="0.25">
      <c r="A310" s="2"/>
      <c r="B310" s="2"/>
      <c r="C310" s="2"/>
      <c r="D310" s="2"/>
      <c r="E310" s="17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1"/>
      <c r="AE310" s="5"/>
      <c r="AF310" s="6"/>
      <c r="AG310" s="6"/>
      <c r="AH310" s="6"/>
      <c r="AI310" s="6"/>
      <c r="AJ310" s="2"/>
    </row>
    <row r="311" spans="1:36" ht="13.2" x14ac:dyDescent="0.25">
      <c r="A311" s="2"/>
      <c r="B311" s="2"/>
      <c r="C311" s="2"/>
      <c r="D311" s="2"/>
      <c r="E311" s="17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1"/>
      <c r="AE311" s="5"/>
      <c r="AF311" s="6"/>
      <c r="AG311" s="6"/>
      <c r="AH311" s="6"/>
      <c r="AI311" s="6"/>
      <c r="AJ311" s="2"/>
    </row>
    <row r="312" spans="1:36" ht="13.2" x14ac:dyDescent="0.25">
      <c r="A312" s="2"/>
      <c r="B312" s="2"/>
      <c r="C312" s="2"/>
      <c r="D312" s="2"/>
      <c r="E312" s="17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1"/>
      <c r="AE312" s="5"/>
      <c r="AF312" s="6"/>
      <c r="AG312" s="6"/>
      <c r="AH312" s="6"/>
      <c r="AI312" s="6"/>
      <c r="AJ312" s="2"/>
    </row>
    <row r="313" spans="1:36" ht="13.2" x14ac:dyDescent="0.25">
      <c r="A313" s="2"/>
      <c r="B313" s="2"/>
      <c r="C313" s="2"/>
      <c r="D313" s="2"/>
      <c r="E313" s="17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1"/>
      <c r="AE313" s="5"/>
      <c r="AF313" s="6"/>
      <c r="AG313" s="6"/>
      <c r="AH313" s="6"/>
      <c r="AI313" s="6"/>
      <c r="AJ313" s="2"/>
    </row>
    <row r="314" spans="1:36" ht="13.2" x14ac:dyDescent="0.25">
      <c r="A314" s="2"/>
      <c r="B314" s="2"/>
      <c r="C314" s="2"/>
      <c r="D314" s="2"/>
      <c r="E314" s="17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1"/>
      <c r="AE314" s="5"/>
      <c r="AF314" s="6"/>
      <c r="AG314" s="6"/>
      <c r="AH314" s="6"/>
      <c r="AI314" s="6"/>
      <c r="AJ314" s="2"/>
    </row>
    <row r="315" spans="1:36" ht="13.2" x14ac:dyDescent="0.25">
      <c r="A315" s="2"/>
      <c r="B315" s="2"/>
      <c r="C315" s="2"/>
      <c r="D315" s="2"/>
      <c r="E315" s="17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1"/>
      <c r="AE315" s="5"/>
      <c r="AF315" s="6"/>
      <c r="AG315" s="6"/>
      <c r="AH315" s="6"/>
      <c r="AI315" s="6"/>
      <c r="AJ315" s="2"/>
    </row>
    <row r="316" spans="1:36" ht="13.2" x14ac:dyDescent="0.25">
      <c r="A316" s="2"/>
      <c r="B316" s="2"/>
      <c r="C316" s="2"/>
      <c r="D316" s="2"/>
      <c r="E316" s="17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1"/>
      <c r="AE316" s="5"/>
      <c r="AF316" s="6"/>
      <c r="AG316" s="6"/>
      <c r="AH316" s="6"/>
      <c r="AI316" s="6"/>
      <c r="AJ316" s="2"/>
    </row>
    <row r="317" spans="1:36" ht="13.2" x14ac:dyDescent="0.25">
      <c r="A317" s="2"/>
      <c r="B317" s="2"/>
      <c r="C317" s="2"/>
      <c r="D317" s="2"/>
      <c r="E317" s="17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1"/>
      <c r="AE317" s="5"/>
      <c r="AF317" s="6"/>
      <c r="AG317" s="6"/>
      <c r="AH317" s="6"/>
      <c r="AI317" s="6"/>
      <c r="AJ317" s="2"/>
    </row>
    <row r="318" spans="1:36" ht="13.2" x14ac:dyDescent="0.25">
      <c r="A318" s="2"/>
      <c r="B318" s="2"/>
      <c r="C318" s="2"/>
      <c r="D318" s="2"/>
      <c r="E318" s="17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1"/>
      <c r="AE318" s="5"/>
      <c r="AF318" s="6"/>
      <c r="AG318" s="6"/>
      <c r="AH318" s="6"/>
      <c r="AI318" s="6"/>
      <c r="AJ318" s="2"/>
    </row>
    <row r="319" spans="1:36" ht="13.2" x14ac:dyDescent="0.25">
      <c r="A319" s="2"/>
      <c r="B319" s="2"/>
      <c r="C319" s="2"/>
      <c r="D319" s="2"/>
      <c r="E319" s="17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1"/>
      <c r="AE319" s="5"/>
      <c r="AF319" s="6"/>
      <c r="AG319" s="6"/>
      <c r="AH319" s="6"/>
      <c r="AI319" s="6"/>
      <c r="AJ319" s="2"/>
    </row>
    <row r="320" spans="1:36" ht="13.2" x14ac:dyDescent="0.25">
      <c r="A320" s="2"/>
      <c r="B320" s="2"/>
      <c r="C320" s="2"/>
      <c r="D320" s="2"/>
      <c r="E320" s="17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1"/>
      <c r="AE320" s="5"/>
      <c r="AF320" s="6"/>
      <c r="AG320" s="6"/>
      <c r="AH320" s="6"/>
      <c r="AI320" s="6"/>
      <c r="AJ320" s="2"/>
    </row>
    <row r="321" spans="1:36" ht="13.2" x14ac:dyDescent="0.25">
      <c r="A321" s="2"/>
      <c r="B321" s="2"/>
      <c r="C321" s="2"/>
      <c r="D321" s="2"/>
      <c r="E321" s="17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1"/>
      <c r="AE321" s="5"/>
      <c r="AF321" s="6"/>
      <c r="AG321" s="6"/>
      <c r="AH321" s="6"/>
      <c r="AI321" s="6"/>
      <c r="AJ321" s="2"/>
    </row>
    <row r="322" spans="1:36" ht="13.2" x14ac:dyDescent="0.25">
      <c r="A322" s="2"/>
      <c r="B322" s="2"/>
      <c r="C322" s="2"/>
      <c r="D322" s="2"/>
      <c r="E322" s="17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1"/>
      <c r="AE322" s="5"/>
      <c r="AF322" s="6"/>
      <c r="AG322" s="6"/>
      <c r="AH322" s="6"/>
      <c r="AI322" s="6"/>
      <c r="AJ322" s="2"/>
    </row>
    <row r="323" spans="1:36" ht="13.2" x14ac:dyDescent="0.25">
      <c r="A323" s="2"/>
      <c r="B323" s="2"/>
      <c r="C323" s="2"/>
      <c r="D323" s="2"/>
      <c r="E323" s="17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1"/>
      <c r="AE323" s="5"/>
      <c r="AF323" s="6"/>
      <c r="AG323" s="6"/>
      <c r="AH323" s="6"/>
      <c r="AI323" s="6"/>
      <c r="AJ323" s="2"/>
    </row>
    <row r="324" spans="1:36" ht="13.2" x14ac:dyDescent="0.25">
      <c r="A324" s="2"/>
      <c r="B324" s="2"/>
      <c r="C324" s="2"/>
      <c r="D324" s="2"/>
      <c r="E324" s="17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1"/>
      <c r="AE324" s="5"/>
      <c r="AF324" s="6"/>
      <c r="AG324" s="6"/>
      <c r="AH324" s="6"/>
      <c r="AI324" s="6"/>
      <c r="AJ324" s="2"/>
    </row>
    <row r="325" spans="1:36" ht="13.2" x14ac:dyDescent="0.25">
      <c r="A325" s="2"/>
      <c r="B325" s="2"/>
      <c r="C325" s="2"/>
      <c r="D325" s="2"/>
      <c r="E325" s="17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1"/>
      <c r="AE325" s="5"/>
      <c r="AF325" s="6"/>
      <c r="AG325" s="6"/>
      <c r="AH325" s="6"/>
      <c r="AI325" s="6"/>
      <c r="AJ325" s="2"/>
    </row>
    <row r="326" spans="1:36" ht="13.2" x14ac:dyDescent="0.25">
      <c r="A326" s="2"/>
      <c r="B326" s="2"/>
      <c r="C326" s="2"/>
      <c r="D326" s="2"/>
      <c r="E326" s="17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1"/>
      <c r="AE326" s="5"/>
      <c r="AF326" s="6"/>
      <c r="AG326" s="6"/>
      <c r="AH326" s="6"/>
      <c r="AI326" s="6"/>
      <c r="AJ326" s="2"/>
    </row>
    <row r="327" spans="1:36" ht="13.2" x14ac:dyDescent="0.25">
      <c r="A327" s="2"/>
      <c r="B327" s="2"/>
      <c r="C327" s="2"/>
      <c r="D327" s="2"/>
      <c r="E327" s="17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1"/>
      <c r="AE327" s="5"/>
      <c r="AF327" s="6"/>
      <c r="AG327" s="6"/>
      <c r="AH327" s="6"/>
      <c r="AI327" s="6"/>
      <c r="AJ327" s="2"/>
    </row>
    <row r="328" spans="1:36" ht="13.2" x14ac:dyDescent="0.25">
      <c r="A328" s="2"/>
      <c r="B328" s="2"/>
      <c r="C328" s="2"/>
      <c r="D328" s="2"/>
      <c r="E328" s="17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1"/>
      <c r="AE328" s="5"/>
      <c r="AF328" s="6"/>
      <c r="AG328" s="6"/>
      <c r="AH328" s="6"/>
      <c r="AI328" s="6"/>
      <c r="AJ328" s="2"/>
    </row>
    <row r="329" spans="1:36" ht="13.2" x14ac:dyDescent="0.25">
      <c r="A329" s="2"/>
      <c r="B329" s="2"/>
      <c r="C329" s="2"/>
      <c r="D329" s="2"/>
      <c r="E329" s="17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1"/>
      <c r="AE329" s="5"/>
      <c r="AF329" s="6"/>
      <c r="AG329" s="6"/>
      <c r="AH329" s="6"/>
      <c r="AI329" s="6"/>
      <c r="AJ329" s="2"/>
    </row>
    <row r="330" spans="1:36" ht="13.2" x14ac:dyDescent="0.25">
      <c r="A330" s="2"/>
      <c r="B330" s="2"/>
      <c r="C330" s="2"/>
      <c r="D330" s="2"/>
      <c r="E330" s="17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1"/>
      <c r="AE330" s="5"/>
      <c r="AF330" s="6"/>
      <c r="AG330" s="6"/>
      <c r="AH330" s="6"/>
      <c r="AI330" s="6"/>
      <c r="AJ330" s="2"/>
    </row>
    <row r="331" spans="1:36" ht="13.2" x14ac:dyDescent="0.25">
      <c r="A331" s="2"/>
      <c r="B331" s="2"/>
      <c r="C331" s="2"/>
      <c r="D331" s="2"/>
      <c r="E331" s="17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1"/>
      <c r="AE331" s="5"/>
      <c r="AF331" s="6"/>
      <c r="AG331" s="6"/>
      <c r="AH331" s="6"/>
      <c r="AI331" s="6"/>
      <c r="AJ331" s="2"/>
    </row>
    <row r="332" spans="1:36" ht="13.2" x14ac:dyDescent="0.25">
      <c r="A332" s="2"/>
      <c r="B332" s="2"/>
      <c r="C332" s="2"/>
      <c r="D332" s="2"/>
      <c r="E332" s="17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1"/>
      <c r="AE332" s="5"/>
      <c r="AF332" s="6"/>
      <c r="AG332" s="6"/>
      <c r="AH332" s="6"/>
      <c r="AI332" s="6"/>
      <c r="AJ332" s="2"/>
    </row>
    <row r="333" spans="1:36" ht="13.2" x14ac:dyDescent="0.25">
      <c r="A333" s="2"/>
      <c r="B333" s="2"/>
      <c r="C333" s="2"/>
      <c r="D333" s="2"/>
      <c r="E333" s="17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1"/>
      <c r="AE333" s="5"/>
      <c r="AF333" s="6"/>
      <c r="AG333" s="6"/>
      <c r="AH333" s="6"/>
      <c r="AI333" s="6"/>
      <c r="AJ333" s="2"/>
    </row>
    <row r="334" spans="1:36" ht="13.2" x14ac:dyDescent="0.25">
      <c r="A334" s="2"/>
      <c r="B334" s="2"/>
      <c r="C334" s="2"/>
      <c r="D334" s="2"/>
      <c r="E334" s="17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1"/>
      <c r="AE334" s="5"/>
      <c r="AF334" s="6"/>
      <c r="AG334" s="6"/>
      <c r="AH334" s="6"/>
      <c r="AI334" s="6"/>
      <c r="AJ334" s="2"/>
    </row>
    <row r="335" spans="1:36" ht="13.2" x14ac:dyDescent="0.25">
      <c r="A335" s="2"/>
      <c r="B335" s="2"/>
      <c r="C335" s="2"/>
      <c r="D335" s="2"/>
      <c r="E335" s="17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1"/>
      <c r="AE335" s="5"/>
      <c r="AF335" s="6"/>
      <c r="AG335" s="6"/>
      <c r="AH335" s="6"/>
      <c r="AI335" s="6"/>
      <c r="AJ335" s="2"/>
    </row>
    <row r="336" spans="1:36" ht="13.2" x14ac:dyDescent="0.25">
      <c r="A336" s="2"/>
      <c r="B336" s="2"/>
      <c r="C336" s="2"/>
      <c r="D336" s="2"/>
      <c r="E336" s="17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1"/>
      <c r="AE336" s="5"/>
      <c r="AF336" s="6"/>
      <c r="AG336" s="6"/>
      <c r="AH336" s="6"/>
      <c r="AI336" s="6"/>
      <c r="AJ336" s="2"/>
    </row>
    <row r="337" spans="1:36" ht="13.2" x14ac:dyDescent="0.25">
      <c r="A337" s="2"/>
      <c r="B337" s="2"/>
      <c r="C337" s="2"/>
      <c r="D337" s="2"/>
      <c r="E337" s="17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1"/>
      <c r="AE337" s="5"/>
      <c r="AF337" s="6"/>
      <c r="AG337" s="6"/>
      <c r="AH337" s="6"/>
      <c r="AI337" s="6"/>
      <c r="AJ337" s="2"/>
    </row>
    <row r="338" spans="1:36" ht="13.2" x14ac:dyDescent="0.25">
      <c r="A338" s="2"/>
      <c r="B338" s="2"/>
      <c r="C338" s="2"/>
      <c r="D338" s="2"/>
      <c r="E338" s="17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1"/>
      <c r="AE338" s="5"/>
      <c r="AF338" s="6"/>
      <c r="AG338" s="6"/>
      <c r="AH338" s="6"/>
      <c r="AI338" s="6"/>
      <c r="AJ338" s="2"/>
    </row>
    <row r="339" spans="1:36" ht="13.2" x14ac:dyDescent="0.25">
      <c r="A339" s="2"/>
      <c r="B339" s="2"/>
      <c r="C339" s="2"/>
      <c r="D339" s="2"/>
      <c r="E339" s="17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1"/>
      <c r="AE339" s="5"/>
      <c r="AF339" s="6"/>
      <c r="AG339" s="6"/>
      <c r="AH339" s="6"/>
      <c r="AI339" s="6"/>
      <c r="AJ339" s="2"/>
    </row>
    <row r="340" spans="1:36" ht="13.2" x14ac:dyDescent="0.25">
      <c r="A340" s="2"/>
      <c r="B340" s="2"/>
      <c r="C340" s="2"/>
      <c r="D340" s="2"/>
      <c r="E340" s="17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1"/>
      <c r="AE340" s="5"/>
      <c r="AF340" s="6"/>
      <c r="AG340" s="6"/>
      <c r="AH340" s="6"/>
      <c r="AI340" s="6"/>
      <c r="AJ340" s="2"/>
    </row>
    <row r="341" spans="1:36" ht="13.2" x14ac:dyDescent="0.25">
      <c r="A341" s="2"/>
      <c r="B341" s="2"/>
      <c r="C341" s="2"/>
      <c r="D341" s="2"/>
      <c r="E341" s="17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1"/>
      <c r="AE341" s="5"/>
      <c r="AF341" s="6"/>
      <c r="AG341" s="6"/>
      <c r="AH341" s="6"/>
      <c r="AI341" s="6"/>
      <c r="AJ341" s="2"/>
    </row>
    <row r="342" spans="1:36" ht="13.2" x14ac:dyDescent="0.25">
      <c r="A342" s="2"/>
      <c r="B342" s="2"/>
      <c r="C342" s="2"/>
      <c r="D342" s="2"/>
      <c r="E342" s="17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1"/>
      <c r="AE342" s="5"/>
      <c r="AF342" s="6"/>
      <c r="AG342" s="6"/>
      <c r="AH342" s="6"/>
      <c r="AI342" s="6"/>
      <c r="AJ342" s="2"/>
    </row>
    <row r="343" spans="1:36" ht="13.2" x14ac:dyDescent="0.25">
      <c r="A343" s="2"/>
      <c r="B343" s="2"/>
      <c r="C343" s="2"/>
      <c r="D343" s="2"/>
      <c r="E343" s="17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1"/>
      <c r="AE343" s="5"/>
      <c r="AF343" s="6"/>
      <c r="AG343" s="6"/>
      <c r="AH343" s="6"/>
      <c r="AI343" s="6"/>
      <c r="AJ343" s="2"/>
    </row>
    <row r="344" spans="1:36" ht="13.2" x14ac:dyDescent="0.25">
      <c r="A344" s="2"/>
      <c r="B344" s="2"/>
      <c r="C344" s="2"/>
      <c r="D344" s="2"/>
      <c r="E344" s="17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1"/>
      <c r="AE344" s="5"/>
      <c r="AF344" s="6"/>
      <c r="AG344" s="6"/>
      <c r="AH344" s="6"/>
      <c r="AI344" s="6"/>
      <c r="AJ344" s="2"/>
    </row>
    <row r="345" spans="1:36" ht="13.2" x14ac:dyDescent="0.25">
      <c r="A345" s="2"/>
      <c r="B345" s="2"/>
      <c r="C345" s="2"/>
      <c r="D345" s="2"/>
      <c r="E345" s="17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1"/>
      <c r="AE345" s="5"/>
      <c r="AF345" s="6"/>
      <c r="AG345" s="6"/>
      <c r="AH345" s="6"/>
      <c r="AI345" s="6"/>
      <c r="AJ345" s="2"/>
    </row>
    <row r="346" spans="1:36" ht="13.2" x14ac:dyDescent="0.25">
      <c r="A346" s="2"/>
      <c r="B346" s="2"/>
      <c r="C346" s="2"/>
      <c r="D346" s="2"/>
      <c r="E346" s="17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1"/>
      <c r="AE346" s="5"/>
      <c r="AF346" s="6"/>
      <c r="AG346" s="6"/>
      <c r="AH346" s="6"/>
      <c r="AI346" s="6"/>
      <c r="AJ346" s="2"/>
    </row>
    <row r="347" spans="1:36" ht="13.2" x14ac:dyDescent="0.25">
      <c r="A347" s="2"/>
      <c r="B347" s="2"/>
      <c r="C347" s="2"/>
      <c r="D347" s="2"/>
      <c r="E347" s="17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1"/>
      <c r="AE347" s="5"/>
      <c r="AF347" s="6"/>
      <c r="AG347" s="6"/>
      <c r="AH347" s="6"/>
      <c r="AI347" s="6"/>
      <c r="AJ347" s="2"/>
    </row>
    <row r="348" spans="1:36" ht="13.2" x14ac:dyDescent="0.25">
      <c r="A348" s="2"/>
      <c r="B348" s="2"/>
      <c r="C348" s="2"/>
      <c r="D348" s="2"/>
      <c r="E348" s="17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1"/>
      <c r="AE348" s="5"/>
      <c r="AF348" s="6"/>
      <c r="AG348" s="6"/>
      <c r="AH348" s="6"/>
      <c r="AI348" s="6"/>
      <c r="AJ348" s="2"/>
    </row>
    <row r="349" spans="1:36" ht="13.2" x14ac:dyDescent="0.25">
      <c r="A349" s="2"/>
      <c r="B349" s="2"/>
      <c r="C349" s="2"/>
      <c r="D349" s="2"/>
      <c r="E349" s="17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1"/>
      <c r="AE349" s="5"/>
      <c r="AF349" s="6"/>
      <c r="AG349" s="6"/>
      <c r="AH349" s="6"/>
      <c r="AI349" s="6"/>
      <c r="AJ349" s="2"/>
    </row>
    <row r="350" spans="1:36" ht="13.2" x14ac:dyDescent="0.25">
      <c r="A350" s="2"/>
      <c r="B350" s="2"/>
      <c r="C350" s="2"/>
      <c r="D350" s="2"/>
      <c r="E350" s="17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1"/>
      <c r="AE350" s="5"/>
      <c r="AF350" s="6"/>
      <c r="AG350" s="6"/>
      <c r="AH350" s="6"/>
      <c r="AI350" s="6"/>
      <c r="AJ350" s="2"/>
    </row>
    <row r="351" spans="1:36" ht="13.2" x14ac:dyDescent="0.25">
      <c r="A351" s="2"/>
      <c r="B351" s="2"/>
      <c r="C351" s="2"/>
      <c r="D351" s="2"/>
      <c r="E351" s="17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1"/>
      <c r="AE351" s="5"/>
      <c r="AF351" s="6"/>
      <c r="AG351" s="6"/>
      <c r="AH351" s="6"/>
      <c r="AI351" s="6"/>
      <c r="AJ351" s="2"/>
    </row>
    <row r="352" spans="1:36" ht="13.2" x14ac:dyDescent="0.25">
      <c r="A352" s="2"/>
      <c r="B352" s="2"/>
      <c r="C352" s="2"/>
      <c r="D352" s="2"/>
      <c r="E352" s="17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1"/>
      <c r="AE352" s="5"/>
      <c r="AF352" s="6"/>
      <c r="AG352" s="6"/>
      <c r="AH352" s="6"/>
      <c r="AI352" s="6"/>
      <c r="AJ352" s="2"/>
    </row>
    <row r="353" spans="1:36" ht="13.2" x14ac:dyDescent="0.25">
      <c r="A353" s="2"/>
      <c r="B353" s="2"/>
      <c r="C353" s="2"/>
      <c r="D353" s="2"/>
      <c r="E353" s="17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1"/>
      <c r="AE353" s="5"/>
      <c r="AF353" s="6"/>
      <c r="AG353" s="6"/>
      <c r="AH353" s="6"/>
      <c r="AI353" s="6"/>
      <c r="AJ353" s="2"/>
    </row>
    <row r="354" spans="1:36" ht="13.2" x14ac:dyDescent="0.25">
      <c r="A354" s="2"/>
      <c r="B354" s="2"/>
      <c r="C354" s="2"/>
      <c r="D354" s="2"/>
      <c r="E354" s="17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1"/>
      <c r="AE354" s="5"/>
      <c r="AF354" s="6"/>
      <c r="AG354" s="6"/>
      <c r="AH354" s="6"/>
      <c r="AI354" s="6"/>
      <c r="AJ354" s="2"/>
    </row>
    <row r="355" spans="1:36" ht="13.2" x14ac:dyDescent="0.25">
      <c r="A355" s="2"/>
      <c r="B355" s="2"/>
      <c r="C355" s="2"/>
      <c r="D355" s="2"/>
      <c r="E355" s="17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1"/>
      <c r="AE355" s="5"/>
      <c r="AF355" s="6"/>
      <c r="AG355" s="6"/>
      <c r="AH355" s="6"/>
      <c r="AI355" s="6"/>
      <c r="AJ355" s="2"/>
    </row>
    <row r="356" spans="1:36" ht="13.2" x14ac:dyDescent="0.25">
      <c r="A356" s="2"/>
      <c r="B356" s="2"/>
      <c r="C356" s="2"/>
      <c r="D356" s="2"/>
      <c r="E356" s="17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1"/>
      <c r="AE356" s="5"/>
      <c r="AF356" s="6"/>
      <c r="AG356" s="6"/>
      <c r="AH356" s="6"/>
      <c r="AI356" s="6"/>
      <c r="AJ356" s="2"/>
    </row>
    <row r="357" spans="1:36" ht="13.2" x14ac:dyDescent="0.25">
      <c r="A357" s="2"/>
      <c r="B357" s="2"/>
      <c r="C357" s="2"/>
      <c r="D357" s="2"/>
      <c r="E357" s="17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1"/>
      <c r="AE357" s="5"/>
      <c r="AF357" s="6"/>
      <c r="AG357" s="6"/>
      <c r="AH357" s="6"/>
      <c r="AI357" s="6"/>
      <c r="AJ357" s="2"/>
    </row>
    <row r="358" spans="1:36" ht="13.2" x14ac:dyDescent="0.25">
      <c r="A358" s="2"/>
      <c r="B358" s="2"/>
      <c r="C358" s="2"/>
      <c r="D358" s="2"/>
      <c r="E358" s="17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1"/>
      <c r="AE358" s="5"/>
      <c r="AF358" s="6"/>
      <c r="AG358" s="6"/>
      <c r="AH358" s="6"/>
      <c r="AI358" s="6"/>
      <c r="AJ358" s="2"/>
    </row>
    <row r="359" spans="1:36" ht="13.2" x14ac:dyDescent="0.25">
      <c r="A359" s="2"/>
      <c r="B359" s="2"/>
      <c r="C359" s="2"/>
      <c r="D359" s="2"/>
      <c r="E359" s="17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1"/>
      <c r="AE359" s="5"/>
      <c r="AF359" s="6"/>
      <c r="AG359" s="6"/>
      <c r="AH359" s="6"/>
      <c r="AI359" s="6"/>
      <c r="AJ359" s="2"/>
    </row>
    <row r="360" spans="1:36" ht="13.2" x14ac:dyDescent="0.25">
      <c r="A360" s="2"/>
      <c r="B360" s="2"/>
      <c r="C360" s="2"/>
      <c r="D360" s="2"/>
      <c r="E360" s="17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1"/>
      <c r="AE360" s="5"/>
      <c r="AF360" s="6"/>
      <c r="AG360" s="6"/>
      <c r="AH360" s="6"/>
      <c r="AI360" s="6"/>
      <c r="AJ360" s="2"/>
    </row>
    <row r="361" spans="1:36" ht="13.2" x14ac:dyDescent="0.25">
      <c r="A361" s="2"/>
      <c r="B361" s="2"/>
      <c r="C361" s="2"/>
      <c r="D361" s="2"/>
      <c r="E361" s="17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1"/>
      <c r="AE361" s="5"/>
      <c r="AF361" s="6"/>
      <c r="AG361" s="6"/>
      <c r="AH361" s="6"/>
      <c r="AI361" s="6"/>
      <c r="AJ361" s="2"/>
    </row>
    <row r="362" spans="1:36" ht="13.2" x14ac:dyDescent="0.25">
      <c r="A362" s="2"/>
      <c r="B362" s="2"/>
      <c r="C362" s="2"/>
      <c r="D362" s="2"/>
      <c r="E362" s="17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1"/>
      <c r="AE362" s="5"/>
      <c r="AF362" s="6"/>
      <c r="AG362" s="6"/>
      <c r="AH362" s="6"/>
      <c r="AI362" s="6"/>
      <c r="AJ362" s="2"/>
    </row>
    <row r="363" spans="1:36" ht="13.2" x14ac:dyDescent="0.25">
      <c r="A363" s="2"/>
      <c r="B363" s="2"/>
      <c r="C363" s="2"/>
      <c r="D363" s="2"/>
      <c r="E363" s="17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1"/>
      <c r="AE363" s="5"/>
      <c r="AF363" s="6"/>
      <c r="AG363" s="6"/>
      <c r="AH363" s="6"/>
      <c r="AI363" s="6"/>
      <c r="AJ363" s="2"/>
    </row>
    <row r="364" spans="1:36" ht="13.2" x14ac:dyDescent="0.25">
      <c r="A364" s="2"/>
      <c r="B364" s="2"/>
      <c r="C364" s="2"/>
      <c r="D364" s="2"/>
      <c r="E364" s="17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1"/>
      <c r="AE364" s="5"/>
      <c r="AF364" s="6"/>
      <c r="AG364" s="6"/>
      <c r="AH364" s="6"/>
      <c r="AI364" s="6"/>
      <c r="AJ364" s="2"/>
    </row>
    <row r="365" spans="1:36" ht="13.2" x14ac:dyDescent="0.25">
      <c r="A365" s="2"/>
      <c r="B365" s="2"/>
      <c r="C365" s="2"/>
      <c r="D365" s="2"/>
      <c r="E365" s="17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1"/>
      <c r="AE365" s="5"/>
      <c r="AF365" s="6"/>
      <c r="AG365" s="6"/>
      <c r="AH365" s="6"/>
      <c r="AI365" s="6"/>
      <c r="AJ365" s="2"/>
    </row>
    <row r="366" spans="1:36" ht="13.2" x14ac:dyDescent="0.25">
      <c r="A366" s="2"/>
      <c r="B366" s="2"/>
      <c r="C366" s="2"/>
      <c r="D366" s="2"/>
      <c r="E366" s="17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1"/>
      <c r="AE366" s="5"/>
      <c r="AF366" s="6"/>
      <c r="AG366" s="6"/>
      <c r="AH366" s="6"/>
      <c r="AI366" s="6"/>
      <c r="AJ366" s="2"/>
    </row>
    <row r="367" spans="1:36" ht="13.2" x14ac:dyDescent="0.25">
      <c r="A367" s="2"/>
      <c r="B367" s="2"/>
      <c r="C367" s="2"/>
      <c r="D367" s="2"/>
      <c r="E367" s="17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1"/>
      <c r="AE367" s="5"/>
      <c r="AF367" s="6"/>
      <c r="AG367" s="6"/>
      <c r="AH367" s="6"/>
      <c r="AI367" s="6"/>
      <c r="AJ367" s="2"/>
    </row>
    <row r="368" spans="1:36" ht="13.2" x14ac:dyDescent="0.25">
      <c r="A368" s="2"/>
      <c r="B368" s="2"/>
      <c r="C368" s="2"/>
      <c r="D368" s="2"/>
      <c r="E368" s="17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1"/>
      <c r="AE368" s="5"/>
      <c r="AF368" s="6"/>
      <c r="AG368" s="6"/>
      <c r="AH368" s="6"/>
      <c r="AI368" s="6"/>
      <c r="AJ368" s="2"/>
    </row>
    <row r="369" spans="1:36" ht="13.2" x14ac:dyDescent="0.25">
      <c r="A369" s="2"/>
      <c r="B369" s="2"/>
      <c r="C369" s="2"/>
      <c r="D369" s="2"/>
      <c r="E369" s="17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1"/>
      <c r="AE369" s="5"/>
      <c r="AF369" s="6"/>
      <c r="AG369" s="6"/>
      <c r="AH369" s="6"/>
      <c r="AI369" s="6"/>
      <c r="AJ369" s="2"/>
    </row>
    <row r="370" spans="1:36" ht="13.2" x14ac:dyDescent="0.25">
      <c r="A370" s="2"/>
      <c r="B370" s="2"/>
      <c r="C370" s="2"/>
      <c r="D370" s="2"/>
      <c r="E370" s="17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1"/>
      <c r="AE370" s="5"/>
      <c r="AF370" s="6"/>
      <c r="AG370" s="6"/>
      <c r="AH370" s="6"/>
      <c r="AI370" s="6"/>
      <c r="AJ370" s="2"/>
    </row>
    <row r="371" spans="1:36" ht="13.2" x14ac:dyDescent="0.25">
      <c r="A371" s="2"/>
      <c r="B371" s="2"/>
      <c r="C371" s="2"/>
      <c r="D371" s="2"/>
      <c r="E371" s="17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1"/>
      <c r="AE371" s="5"/>
      <c r="AF371" s="6"/>
      <c r="AG371" s="6"/>
      <c r="AH371" s="6"/>
      <c r="AI371" s="6"/>
      <c r="AJ371" s="2"/>
    </row>
    <row r="372" spans="1:36" ht="13.2" x14ac:dyDescent="0.25">
      <c r="A372" s="2"/>
      <c r="B372" s="2"/>
      <c r="C372" s="2"/>
      <c r="D372" s="2"/>
      <c r="E372" s="17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1"/>
      <c r="AE372" s="5"/>
      <c r="AF372" s="6"/>
      <c r="AG372" s="6"/>
      <c r="AH372" s="6"/>
      <c r="AI372" s="6"/>
      <c r="AJ372" s="2"/>
    </row>
    <row r="373" spans="1:36" ht="13.2" x14ac:dyDescent="0.25">
      <c r="A373" s="2"/>
      <c r="B373" s="2"/>
      <c r="C373" s="2"/>
      <c r="D373" s="2"/>
      <c r="E373" s="17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1"/>
      <c r="AE373" s="5"/>
      <c r="AF373" s="6"/>
      <c r="AG373" s="6"/>
      <c r="AH373" s="6"/>
      <c r="AI373" s="6"/>
      <c r="AJ373" s="2"/>
    </row>
    <row r="374" spans="1:36" ht="13.2" x14ac:dyDescent="0.25">
      <c r="A374" s="2"/>
      <c r="B374" s="2"/>
      <c r="C374" s="2"/>
      <c r="D374" s="2"/>
      <c r="E374" s="17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1"/>
      <c r="AE374" s="5"/>
      <c r="AF374" s="6"/>
      <c r="AG374" s="6"/>
      <c r="AH374" s="6"/>
      <c r="AI374" s="6"/>
      <c r="AJ374" s="2"/>
    </row>
    <row r="375" spans="1:36" ht="13.2" x14ac:dyDescent="0.25">
      <c r="A375" s="2"/>
      <c r="B375" s="2"/>
      <c r="C375" s="2"/>
      <c r="D375" s="2"/>
      <c r="E375" s="17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1"/>
      <c r="AE375" s="5"/>
      <c r="AF375" s="6"/>
      <c r="AG375" s="6"/>
      <c r="AH375" s="6"/>
      <c r="AI375" s="6"/>
      <c r="AJ375" s="2"/>
    </row>
    <row r="376" spans="1:36" ht="13.2" x14ac:dyDescent="0.25">
      <c r="A376" s="2"/>
      <c r="B376" s="2"/>
      <c r="C376" s="2"/>
      <c r="D376" s="2"/>
      <c r="E376" s="17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1"/>
      <c r="AE376" s="5"/>
      <c r="AF376" s="6"/>
      <c r="AG376" s="6"/>
      <c r="AH376" s="6"/>
      <c r="AI376" s="6"/>
      <c r="AJ376" s="2"/>
    </row>
    <row r="377" spans="1:36" ht="13.2" x14ac:dyDescent="0.25">
      <c r="A377" s="2"/>
      <c r="B377" s="2"/>
      <c r="C377" s="2"/>
      <c r="D377" s="2"/>
      <c r="E377" s="17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1"/>
      <c r="AE377" s="5"/>
      <c r="AF377" s="6"/>
      <c r="AG377" s="6"/>
      <c r="AH377" s="6"/>
      <c r="AI377" s="6"/>
      <c r="AJ377" s="2"/>
    </row>
    <row r="378" spans="1:36" ht="13.2" x14ac:dyDescent="0.25">
      <c r="A378" s="2"/>
      <c r="B378" s="2"/>
      <c r="C378" s="2"/>
      <c r="D378" s="2"/>
      <c r="E378" s="17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1"/>
      <c r="AE378" s="5"/>
      <c r="AF378" s="6"/>
      <c r="AG378" s="6"/>
      <c r="AH378" s="6"/>
      <c r="AI378" s="6"/>
      <c r="AJ378" s="2"/>
    </row>
    <row r="379" spans="1:36" ht="13.2" x14ac:dyDescent="0.25">
      <c r="A379" s="2"/>
      <c r="B379" s="2"/>
      <c r="C379" s="2"/>
      <c r="D379" s="2"/>
      <c r="E379" s="17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1"/>
      <c r="AE379" s="5"/>
      <c r="AF379" s="6"/>
      <c r="AG379" s="6"/>
      <c r="AH379" s="6"/>
      <c r="AI379" s="6"/>
      <c r="AJ379" s="2"/>
    </row>
    <row r="380" spans="1:36" ht="13.2" x14ac:dyDescent="0.25">
      <c r="A380" s="2"/>
      <c r="B380" s="2"/>
      <c r="C380" s="2"/>
      <c r="D380" s="2"/>
      <c r="E380" s="17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1"/>
      <c r="AE380" s="5"/>
      <c r="AF380" s="6"/>
      <c r="AG380" s="6"/>
      <c r="AH380" s="6"/>
      <c r="AI380" s="6"/>
      <c r="AJ380" s="2"/>
    </row>
    <row r="381" spans="1:36" ht="13.2" x14ac:dyDescent="0.25">
      <c r="A381" s="2"/>
      <c r="B381" s="2"/>
      <c r="C381" s="2"/>
      <c r="D381" s="2"/>
      <c r="E381" s="17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1"/>
      <c r="AE381" s="5"/>
      <c r="AF381" s="6"/>
      <c r="AG381" s="6"/>
      <c r="AH381" s="6"/>
      <c r="AI381" s="6"/>
      <c r="AJ381" s="2"/>
    </row>
    <row r="382" spans="1:36" ht="13.2" x14ac:dyDescent="0.25">
      <c r="A382" s="2"/>
      <c r="B382" s="2"/>
      <c r="C382" s="2"/>
      <c r="D382" s="2"/>
      <c r="E382" s="17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1"/>
      <c r="AE382" s="5"/>
      <c r="AF382" s="6"/>
      <c r="AG382" s="6"/>
      <c r="AH382" s="6"/>
      <c r="AI382" s="6"/>
      <c r="AJ382" s="2"/>
    </row>
    <row r="383" spans="1:36" ht="13.2" x14ac:dyDescent="0.25">
      <c r="A383" s="2"/>
      <c r="B383" s="2"/>
      <c r="C383" s="2"/>
      <c r="D383" s="2"/>
      <c r="E383" s="17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1"/>
      <c r="AE383" s="5"/>
      <c r="AF383" s="6"/>
      <c r="AG383" s="6"/>
      <c r="AH383" s="6"/>
      <c r="AI383" s="6"/>
      <c r="AJ383" s="2"/>
    </row>
    <row r="384" spans="1:36" ht="13.2" x14ac:dyDescent="0.25">
      <c r="A384" s="2"/>
      <c r="B384" s="2"/>
      <c r="C384" s="2"/>
      <c r="D384" s="2"/>
      <c r="E384" s="17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1"/>
      <c r="AE384" s="5"/>
      <c r="AF384" s="6"/>
      <c r="AG384" s="6"/>
      <c r="AH384" s="6"/>
      <c r="AI384" s="6"/>
      <c r="AJ384" s="2"/>
    </row>
    <row r="385" spans="1:36" ht="13.2" x14ac:dyDescent="0.25">
      <c r="A385" s="2"/>
      <c r="B385" s="2"/>
      <c r="C385" s="2"/>
      <c r="D385" s="2"/>
      <c r="E385" s="17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1"/>
      <c r="AE385" s="5"/>
      <c r="AF385" s="6"/>
      <c r="AG385" s="6"/>
      <c r="AH385" s="6"/>
      <c r="AI385" s="6"/>
      <c r="AJ385" s="2"/>
    </row>
    <row r="386" spans="1:36" ht="13.2" x14ac:dyDescent="0.25">
      <c r="A386" s="2"/>
      <c r="B386" s="2"/>
      <c r="C386" s="2"/>
      <c r="D386" s="2"/>
      <c r="E386" s="17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1"/>
      <c r="AE386" s="5"/>
      <c r="AF386" s="6"/>
      <c r="AG386" s="6"/>
      <c r="AH386" s="6"/>
      <c r="AI386" s="6"/>
      <c r="AJ386" s="2"/>
    </row>
    <row r="387" spans="1:36" ht="13.2" x14ac:dyDescent="0.25">
      <c r="A387" s="2"/>
      <c r="B387" s="2"/>
      <c r="C387" s="2"/>
      <c r="D387" s="2"/>
      <c r="E387" s="17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1"/>
      <c r="AE387" s="5"/>
      <c r="AF387" s="6"/>
      <c r="AG387" s="6"/>
      <c r="AH387" s="6"/>
      <c r="AI387" s="6"/>
      <c r="AJ387" s="2"/>
    </row>
    <row r="388" spans="1:36" ht="13.2" x14ac:dyDescent="0.25">
      <c r="A388" s="2"/>
      <c r="B388" s="2"/>
      <c r="C388" s="2"/>
      <c r="D388" s="2"/>
      <c r="E388" s="17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1"/>
      <c r="AE388" s="5"/>
      <c r="AF388" s="6"/>
      <c r="AG388" s="6"/>
      <c r="AH388" s="6"/>
      <c r="AI388" s="6"/>
      <c r="AJ388" s="2"/>
    </row>
    <row r="389" spans="1:36" ht="13.2" x14ac:dyDescent="0.25">
      <c r="A389" s="2"/>
      <c r="B389" s="2"/>
      <c r="C389" s="2"/>
      <c r="D389" s="2"/>
      <c r="E389" s="17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1"/>
      <c r="AE389" s="5"/>
      <c r="AF389" s="6"/>
      <c r="AG389" s="6"/>
      <c r="AH389" s="6"/>
      <c r="AI389" s="6"/>
      <c r="AJ389" s="2"/>
    </row>
    <row r="390" spans="1:36" ht="13.2" x14ac:dyDescent="0.25">
      <c r="A390" s="2"/>
      <c r="B390" s="2"/>
      <c r="C390" s="2"/>
      <c r="D390" s="2"/>
      <c r="E390" s="17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1"/>
      <c r="AE390" s="5"/>
      <c r="AF390" s="6"/>
      <c r="AG390" s="6"/>
      <c r="AH390" s="6"/>
      <c r="AI390" s="6"/>
      <c r="AJ390" s="2"/>
    </row>
    <row r="391" spans="1:36" ht="13.2" x14ac:dyDescent="0.25">
      <c r="A391" s="2"/>
      <c r="B391" s="2"/>
      <c r="C391" s="2"/>
      <c r="D391" s="2"/>
      <c r="E391" s="17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1"/>
      <c r="AE391" s="5"/>
      <c r="AF391" s="6"/>
      <c r="AG391" s="6"/>
      <c r="AH391" s="6"/>
      <c r="AI391" s="6"/>
      <c r="AJ391" s="2"/>
    </row>
    <row r="392" spans="1:36" ht="13.2" x14ac:dyDescent="0.25">
      <c r="A392" s="2"/>
      <c r="B392" s="2"/>
      <c r="C392" s="2"/>
      <c r="D392" s="2"/>
      <c r="E392" s="17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1"/>
      <c r="AE392" s="5"/>
      <c r="AF392" s="6"/>
      <c r="AG392" s="6"/>
      <c r="AH392" s="6"/>
      <c r="AI392" s="6"/>
      <c r="AJ392" s="2"/>
    </row>
    <row r="393" spans="1:36" ht="13.2" x14ac:dyDescent="0.25">
      <c r="A393" s="2"/>
      <c r="B393" s="2"/>
      <c r="C393" s="2"/>
      <c r="D393" s="2"/>
      <c r="E393" s="17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1"/>
      <c r="AE393" s="5"/>
      <c r="AF393" s="6"/>
      <c r="AG393" s="6"/>
      <c r="AH393" s="6"/>
      <c r="AI393" s="6"/>
      <c r="AJ393" s="2"/>
    </row>
    <row r="394" spans="1:36" ht="13.2" x14ac:dyDescent="0.25">
      <c r="A394" s="2"/>
      <c r="B394" s="2"/>
      <c r="C394" s="2"/>
      <c r="D394" s="2"/>
      <c r="E394" s="17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1"/>
      <c r="AE394" s="5"/>
      <c r="AF394" s="6"/>
      <c r="AG394" s="6"/>
      <c r="AH394" s="6"/>
      <c r="AI394" s="6"/>
      <c r="AJ394" s="2"/>
    </row>
    <row r="395" spans="1:36" ht="13.2" x14ac:dyDescent="0.25">
      <c r="A395" s="2"/>
      <c r="B395" s="2"/>
      <c r="C395" s="2"/>
      <c r="D395" s="2"/>
      <c r="E395" s="17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1"/>
      <c r="AE395" s="5"/>
      <c r="AF395" s="6"/>
      <c r="AG395" s="6"/>
      <c r="AH395" s="6"/>
      <c r="AI395" s="6"/>
      <c r="AJ395" s="2"/>
    </row>
    <row r="396" spans="1:36" ht="13.2" x14ac:dyDescent="0.25">
      <c r="A396" s="2"/>
      <c r="B396" s="2"/>
      <c r="C396" s="2"/>
      <c r="D396" s="2"/>
      <c r="E396" s="17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1"/>
      <c r="AE396" s="5"/>
      <c r="AF396" s="6"/>
      <c r="AG396" s="6"/>
      <c r="AH396" s="6"/>
      <c r="AI396" s="6"/>
      <c r="AJ396" s="2"/>
    </row>
    <row r="397" spans="1:36" ht="13.2" x14ac:dyDescent="0.25">
      <c r="A397" s="2"/>
      <c r="B397" s="2"/>
      <c r="C397" s="2"/>
      <c r="D397" s="2"/>
      <c r="E397" s="17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1"/>
      <c r="AE397" s="5"/>
      <c r="AF397" s="6"/>
      <c r="AG397" s="6"/>
      <c r="AH397" s="6"/>
      <c r="AI397" s="6"/>
      <c r="AJ397" s="2"/>
    </row>
    <row r="398" spans="1:36" ht="13.2" x14ac:dyDescent="0.25">
      <c r="A398" s="2"/>
      <c r="B398" s="2"/>
      <c r="C398" s="2"/>
      <c r="D398" s="2"/>
      <c r="E398" s="17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1"/>
      <c r="AE398" s="5"/>
      <c r="AF398" s="6"/>
      <c r="AG398" s="6"/>
      <c r="AH398" s="6"/>
      <c r="AI398" s="6"/>
      <c r="AJ398" s="2"/>
    </row>
    <row r="399" spans="1:36" ht="13.2" x14ac:dyDescent="0.25">
      <c r="A399" s="2"/>
      <c r="B399" s="2"/>
      <c r="C399" s="2"/>
      <c r="D399" s="2"/>
      <c r="E399" s="17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1"/>
      <c r="AE399" s="5"/>
      <c r="AF399" s="6"/>
      <c r="AG399" s="6"/>
      <c r="AH399" s="6"/>
      <c r="AI399" s="6"/>
      <c r="AJ399" s="2"/>
    </row>
    <row r="400" spans="1:36" ht="13.2" x14ac:dyDescent="0.25">
      <c r="A400" s="2"/>
      <c r="B400" s="2"/>
      <c r="C400" s="2"/>
      <c r="D400" s="2"/>
      <c r="E400" s="17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1"/>
      <c r="AE400" s="5"/>
      <c r="AF400" s="6"/>
      <c r="AG400" s="6"/>
      <c r="AH400" s="6"/>
      <c r="AI400" s="6"/>
      <c r="AJ400" s="2"/>
    </row>
    <row r="401" spans="1:36" ht="13.2" x14ac:dyDescent="0.25">
      <c r="A401" s="2"/>
      <c r="B401" s="2"/>
      <c r="C401" s="2"/>
      <c r="D401" s="2"/>
      <c r="E401" s="17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1"/>
      <c r="AE401" s="5"/>
      <c r="AF401" s="6"/>
      <c r="AG401" s="6"/>
      <c r="AH401" s="6"/>
      <c r="AI401" s="6"/>
      <c r="AJ401" s="2"/>
    </row>
    <row r="402" spans="1:36" ht="13.2" x14ac:dyDescent="0.25">
      <c r="A402" s="2"/>
      <c r="B402" s="2"/>
      <c r="C402" s="2"/>
      <c r="D402" s="2"/>
      <c r="E402" s="17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1"/>
      <c r="AE402" s="5"/>
      <c r="AF402" s="6"/>
      <c r="AG402" s="6"/>
      <c r="AH402" s="6"/>
      <c r="AI402" s="6"/>
      <c r="AJ402" s="2"/>
    </row>
    <row r="403" spans="1:36" ht="13.2" x14ac:dyDescent="0.25">
      <c r="A403" s="2"/>
      <c r="B403" s="2"/>
      <c r="C403" s="2"/>
      <c r="D403" s="2"/>
      <c r="E403" s="17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1"/>
      <c r="AE403" s="5"/>
      <c r="AF403" s="6"/>
      <c r="AG403" s="6"/>
      <c r="AH403" s="6"/>
      <c r="AI403" s="6"/>
      <c r="AJ403" s="2"/>
    </row>
    <row r="404" spans="1:36" ht="13.2" x14ac:dyDescent="0.25">
      <c r="A404" s="2"/>
      <c r="B404" s="2"/>
      <c r="C404" s="2"/>
      <c r="D404" s="2"/>
      <c r="E404" s="17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1"/>
      <c r="AE404" s="5"/>
      <c r="AF404" s="6"/>
      <c r="AG404" s="6"/>
      <c r="AH404" s="6"/>
      <c r="AI404" s="6"/>
      <c r="AJ404" s="2"/>
    </row>
    <row r="405" spans="1:36" ht="13.2" x14ac:dyDescent="0.25">
      <c r="A405" s="2"/>
      <c r="B405" s="2"/>
      <c r="C405" s="2"/>
      <c r="D405" s="2"/>
      <c r="E405" s="17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1"/>
      <c r="AE405" s="5"/>
      <c r="AF405" s="6"/>
      <c r="AG405" s="6"/>
      <c r="AH405" s="6"/>
      <c r="AI405" s="6"/>
      <c r="AJ405" s="2"/>
    </row>
    <row r="406" spans="1:36" ht="13.2" x14ac:dyDescent="0.25">
      <c r="A406" s="2"/>
      <c r="B406" s="2"/>
      <c r="C406" s="2"/>
      <c r="D406" s="2"/>
      <c r="E406" s="17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1"/>
      <c r="AE406" s="5"/>
      <c r="AF406" s="6"/>
      <c r="AG406" s="6"/>
      <c r="AH406" s="6"/>
      <c r="AI406" s="6"/>
      <c r="AJ406" s="2"/>
    </row>
    <row r="407" spans="1:36" ht="13.2" x14ac:dyDescent="0.25">
      <c r="A407" s="2"/>
      <c r="B407" s="2"/>
      <c r="C407" s="2"/>
      <c r="D407" s="2"/>
      <c r="E407" s="17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1"/>
      <c r="AE407" s="5"/>
      <c r="AF407" s="6"/>
      <c r="AG407" s="6"/>
      <c r="AH407" s="6"/>
      <c r="AI407" s="6"/>
      <c r="AJ407" s="2"/>
    </row>
    <row r="408" spans="1:36" ht="13.2" x14ac:dyDescent="0.25">
      <c r="A408" s="2"/>
      <c r="B408" s="2"/>
      <c r="C408" s="2"/>
      <c r="D408" s="2"/>
      <c r="E408" s="17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1"/>
      <c r="AE408" s="5"/>
      <c r="AF408" s="6"/>
      <c r="AG408" s="6"/>
      <c r="AH408" s="6"/>
      <c r="AI408" s="6"/>
      <c r="AJ408" s="2"/>
    </row>
    <row r="409" spans="1:36" ht="13.2" x14ac:dyDescent="0.25">
      <c r="A409" s="2"/>
      <c r="B409" s="2"/>
      <c r="C409" s="2"/>
      <c r="D409" s="2"/>
      <c r="E409" s="17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1"/>
      <c r="AE409" s="5"/>
      <c r="AF409" s="6"/>
      <c r="AG409" s="6"/>
      <c r="AH409" s="6"/>
      <c r="AI409" s="6"/>
      <c r="AJ409" s="2"/>
    </row>
    <row r="410" spans="1:36" ht="13.2" x14ac:dyDescent="0.25">
      <c r="A410" s="2"/>
      <c r="B410" s="2"/>
      <c r="C410" s="2"/>
      <c r="D410" s="2"/>
      <c r="E410" s="17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1"/>
      <c r="AE410" s="5"/>
      <c r="AF410" s="6"/>
      <c r="AG410" s="6"/>
      <c r="AH410" s="6"/>
      <c r="AI410" s="6"/>
      <c r="AJ410" s="2"/>
    </row>
    <row r="411" spans="1:36" ht="13.2" x14ac:dyDescent="0.25">
      <c r="A411" s="2"/>
      <c r="B411" s="2"/>
      <c r="C411" s="2"/>
      <c r="D411" s="2"/>
      <c r="E411" s="17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1"/>
      <c r="AE411" s="5"/>
      <c r="AF411" s="6"/>
      <c r="AG411" s="6"/>
      <c r="AH411" s="6"/>
      <c r="AI411" s="6"/>
      <c r="AJ411" s="2"/>
    </row>
    <row r="412" spans="1:36" ht="13.2" x14ac:dyDescent="0.25">
      <c r="A412" s="2"/>
      <c r="B412" s="2"/>
      <c r="C412" s="2"/>
      <c r="D412" s="2"/>
      <c r="E412" s="17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1"/>
      <c r="AE412" s="5"/>
      <c r="AF412" s="6"/>
      <c r="AG412" s="6"/>
      <c r="AH412" s="6"/>
      <c r="AI412" s="6"/>
      <c r="AJ412" s="2"/>
    </row>
    <row r="413" spans="1:36" ht="13.2" x14ac:dyDescent="0.25">
      <c r="A413" s="2"/>
      <c r="B413" s="2"/>
      <c r="C413" s="2"/>
      <c r="D413" s="2"/>
      <c r="E413" s="17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1"/>
      <c r="AE413" s="5"/>
      <c r="AF413" s="6"/>
      <c r="AG413" s="6"/>
      <c r="AH413" s="6"/>
      <c r="AI413" s="6"/>
      <c r="AJ413" s="2"/>
    </row>
    <row r="414" spans="1:36" ht="13.2" x14ac:dyDescent="0.25">
      <c r="A414" s="2"/>
      <c r="B414" s="2"/>
      <c r="C414" s="2"/>
      <c r="D414" s="2"/>
      <c r="E414" s="17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1"/>
      <c r="AE414" s="5"/>
      <c r="AF414" s="6"/>
      <c r="AG414" s="6"/>
      <c r="AH414" s="6"/>
      <c r="AI414" s="6"/>
      <c r="AJ414" s="2"/>
    </row>
    <row r="415" spans="1:36" ht="13.2" x14ac:dyDescent="0.25">
      <c r="A415" s="2"/>
      <c r="B415" s="2"/>
      <c r="C415" s="2"/>
      <c r="D415" s="2"/>
      <c r="E415" s="17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1"/>
      <c r="AE415" s="5"/>
      <c r="AF415" s="6"/>
      <c r="AG415" s="6"/>
      <c r="AH415" s="6"/>
      <c r="AI415" s="6"/>
      <c r="AJ415" s="2"/>
    </row>
    <row r="416" spans="1:36" ht="13.2" x14ac:dyDescent="0.25">
      <c r="A416" s="2"/>
      <c r="B416" s="2"/>
      <c r="C416" s="2"/>
      <c r="D416" s="2"/>
      <c r="E416" s="17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1"/>
      <c r="AE416" s="5"/>
      <c r="AF416" s="6"/>
      <c r="AG416" s="6"/>
      <c r="AH416" s="6"/>
      <c r="AI416" s="6"/>
      <c r="AJ416" s="2"/>
    </row>
    <row r="417" spans="1:36" ht="13.2" x14ac:dyDescent="0.25">
      <c r="A417" s="2"/>
      <c r="B417" s="2"/>
      <c r="C417" s="2"/>
      <c r="D417" s="2"/>
      <c r="E417" s="17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1"/>
      <c r="AE417" s="5"/>
      <c r="AF417" s="6"/>
      <c r="AG417" s="6"/>
      <c r="AH417" s="6"/>
      <c r="AI417" s="6"/>
      <c r="AJ417" s="2"/>
    </row>
    <row r="418" spans="1:36" ht="13.2" x14ac:dyDescent="0.25">
      <c r="A418" s="2"/>
      <c r="B418" s="2"/>
      <c r="C418" s="2"/>
      <c r="D418" s="2"/>
      <c r="E418" s="17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1"/>
      <c r="AE418" s="5"/>
      <c r="AF418" s="6"/>
      <c r="AG418" s="6"/>
      <c r="AH418" s="6"/>
      <c r="AI418" s="6"/>
      <c r="AJ418" s="2"/>
    </row>
    <row r="419" spans="1:36" ht="13.2" x14ac:dyDescent="0.25">
      <c r="A419" s="2"/>
      <c r="B419" s="2"/>
      <c r="C419" s="2"/>
      <c r="D419" s="2"/>
      <c r="E419" s="17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1"/>
      <c r="AE419" s="5"/>
      <c r="AF419" s="6"/>
      <c r="AG419" s="6"/>
      <c r="AH419" s="6"/>
      <c r="AI419" s="6"/>
      <c r="AJ419" s="2"/>
    </row>
    <row r="420" spans="1:36" ht="13.2" x14ac:dyDescent="0.25">
      <c r="A420" s="2"/>
      <c r="B420" s="2"/>
      <c r="C420" s="2"/>
      <c r="D420" s="2"/>
      <c r="E420" s="17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1"/>
      <c r="AE420" s="5"/>
      <c r="AF420" s="6"/>
      <c r="AG420" s="6"/>
      <c r="AH420" s="6"/>
      <c r="AI420" s="6"/>
      <c r="AJ420" s="2"/>
    </row>
    <row r="421" spans="1:36" ht="13.2" x14ac:dyDescent="0.25">
      <c r="A421" s="2"/>
      <c r="B421" s="2"/>
      <c r="C421" s="2"/>
      <c r="D421" s="2"/>
      <c r="E421" s="17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1"/>
      <c r="AE421" s="5"/>
      <c r="AF421" s="6"/>
      <c r="AG421" s="6"/>
      <c r="AH421" s="6"/>
      <c r="AI421" s="6"/>
      <c r="AJ421" s="2"/>
    </row>
    <row r="422" spans="1:36" ht="13.2" x14ac:dyDescent="0.25">
      <c r="A422" s="2"/>
      <c r="B422" s="2"/>
      <c r="C422" s="2"/>
      <c r="D422" s="2"/>
      <c r="E422" s="17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1"/>
      <c r="AE422" s="5"/>
      <c r="AF422" s="6"/>
      <c r="AG422" s="6"/>
      <c r="AH422" s="6"/>
      <c r="AI422" s="6"/>
      <c r="AJ422" s="2"/>
    </row>
    <row r="423" spans="1:36" ht="13.2" x14ac:dyDescent="0.25">
      <c r="A423" s="2"/>
      <c r="B423" s="2"/>
      <c r="C423" s="2"/>
      <c r="D423" s="2"/>
      <c r="E423" s="17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1"/>
      <c r="AE423" s="5"/>
      <c r="AF423" s="6"/>
      <c r="AG423" s="6"/>
      <c r="AH423" s="6"/>
      <c r="AI423" s="6"/>
      <c r="AJ423" s="2"/>
    </row>
    <row r="424" spans="1:36" ht="13.2" x14ac:dyDescent="0.25">
      <c r="A424" s="2"/>
      <c r="B424" s="2"/>
      <c r="C424" s="2"/>
      <c r="D424" s="2"/>
      <c r="E424" s="17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1"/>
      <c r="AE424" s="5"/>
      <c r="AF424" s="6"/>
      <c r="AG424" s="6"/>
      <c r="AH424" s="6"/>
      <c r="AI424" s="6"/>
      <c r="AJ424" s="2"/>
    </row>
    <row r="425" spans="1:36" ht="13.2" x14ac:dyDescent="0.25">
      <c r="A425" s="2"/>
      <c r="B425" s="2"/>
      <c r="C425" s="2"/>
      <c r="D425" s="2"/>
      <c r="E425" s="17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1"/>
      <c r="AE425" s="5"/>
      <c r="AF425" s="6"/>
      <c r="AG425" s="6"/>
      <c r="AH425" s="6"/>
      <c r="AI425" s="6"/>
      <c r="AJ425" s="2"/>
    </row>
    <row r="426" spans="1:36" ht="13.2" x14ac:dyDescent="0.25">
      <c r="A426" s="2"/>
      <c r="B426" s="2"/>
      <c r="C426" s="2"/>
      <c r="D426" s="2"/>
      <c r="E426" s="17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1"/>
      <c r="AE426" s="5"/>
      <c r="AF426" s="6"/>
      <c r="AG426" s="6"/>
      <c r="AH426" s="6"/>
      <c r="AI426" s="6"/>
      <c r="AJ426" s="2"/>
    </row>
    <row r="427" spans="1:36" ht="13.2" x14ac:dyDescent="0.25">
      <c r="A427" s="2"/>
      <c r="B427" s="2"/>
      <c r="C427" s="2"/>
      <c r="D427" s="2"/>
      <c r="E427" s="17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1"/>
      <c r="AE427" s="5"/>
      <c r="AF427" s="6"/>
      <c r="AG427" s="6"/>
      <c r="AH427" s="6"/>
      <c r="AI427" s="6"/>
      <c r="AJ427" s="2"/>
    </row>
    <row r="428" spans="1:36" ht="13.2" x14ac:dyDescent="0.25">
      <c r="A428" s="2"/>
      <c r="B428" s="2"/>
      <c r="C428" s="2"/>
      <c r="D428" s="2"/>
      <c r="E428" s="17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1"/>
      <c r="AE428" s="5"/>
      <c r="AF428" s="6"/>
      <c r="AG428" s="6"/>
      <c r="AH428" s="6"/>
      <c r="AI428" s="6"/>
      <c r="AJ428" s="2"/>
    </row>
    <row r="429" spans="1:36" ht="13.2" x14ac:dyDescent="0.25">
      <c r="A429" s="2"/>
      <c r="B429" s="2"/>
      <c r="C429" s="2"/>
      <c r="D429" s="2"/>
      <c r="E429" s="17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1"/>
      <c r="AE429" s="5"/>
      <c r="AF429" s="6"/>
      <c r="AG429" s="6"/>
      <c r="AH429" s="6"/>
      <c r="AI429" s="6"/>
      <c r="AJ429" s="2"/>
    </row>
    <row r="430" spans="1:36" ht="13.2" x14ac:dyDescent="0.25">
      <c r="A430" s="2"/>
      <c r="B430" s="2"/>
      <c r="C430" s="2"/>
      <c r="D430" s="2"/>
      <c r="E430" s="17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1"/>
      <c r="AE430" s="5"/>
      <c r="AF430" s="6"/>
      <c r="AG430" s="6"/>
      <c r="AH430" s="6"/>
      <c r="AI430" s="6"/>
      <c r="AJ430" s="2"/>
    </row>
    <row r="431" spans="1:36" ht="13.2" x14ac:dyDescent="0.25">
      <c r="A431" s="2"/>
      <c r="B431" s="2"/>
      <c r="C431" s="2"/>
      <c r="D431" s="2"/>
      <c r="E431" s="17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1"/>
      <c r="AE431" s="5"/>
      <c r="AF431" s="6"/>
      <c r="AG431" s="6"/>
      <c r="AH431" s="6"/>
      <c r="AI431" s="6"/>
      <c r="AJ431" s="2"/>
    </row>
    <row r="432" spans="1:36" ht="13.2" x14ac:dyDescent="0.25">
      <c r="A432" s="2"/>
      <c r="B432" s="2"/>
      <c r="C432" s="2"/>
      <c r="D432" s="2"/>
      <c r="E432" s="17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1"/>
      <c r="AE432" s="5"/>
      <c r="AF432" s="6"/>
      <c r="AG432" s="6"/>
      <c r="AH432" s="6"/>
      <c r="AI432" s="6"/>
      <c r="AJ432" s="2"/>
    </row>
    <row r="433" spans="1:36" ht="13.2" x14ac:dyDescent="0.25">
      <c r="A433" s="2"/>
      <c r="B433" s="2"/>
      <c r="C433" s="2"/>
      <c r="D433" s="2"/>
      <c r="E433" s="17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1"/>
      <c r="AE433" s="5"/>
      <c r="AF433" s="6"/>
      <c r="AG433" s="6"/>
      <c r="AH433" s="6"/>
      <c r="AI433" s="6"/>
      <c r="AJ433" s="2"/>
    </row>
    <row r="434" spans="1:36" ht="13.2" x14ac:dyDescent="0.25">
      <c r="A434" s="2"/>
      <c r="B434" s="2"/>
      <c r="C434" s="2"/>
      <c r="D434" s="2"/>
      <c r="E434" s="17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1"/>
      <c r="AE434" s="5"/>
      <c r="AF434" s="6"/>
      <c r="AG434" s="6"/>
      <c r="AH434" s="6"/>
      <c r="AI434" s="6"/>
      <c r="AJ434" s="2"/>
    </row>
    <row r="435" spans="1:36" ht="13.2" x14ac:dyDescent="0.25">
      <c r="A435" s="2"/>
      <c r="B435" s="2"/>
      <c r="C435" s="2"/>
      <c r="D435" s="2"/>
      <c r="E435" s="17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1"/>
      <c r="AE435" s="5"/>
      <c r="AF435" s="6"/>
      <c r="AG435" s="6"/>
      <c r="AH435" s="6"/>
      <c r="AI435" s="6"/>
      <c r="AJ435" s="2"/>
    </row>
    <row r="436" spans="1:36" ht="13.2" x14ac:dyDescent="0.25">
      <c r="A436" s="2"/>
      <c r="B436" s="2"/>
      <c r="C436" s="2"/>
      <c r="D436" s="2"/>
      <c r="E436" s="17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1"/>
      <c r="AE436" s="5"/>
      <c r="AF436" s="6"/>
      <c r="AG436" s="6"/>
      <c r="AH436" s="6"/>
      <c r="AI436" s="6"/>
      <c r="AJ436" s="2"/>
    </row>
    <row r="437" spans="1:36" ht="13.2" x14ac:dyDescent="0.25">
      <c r="A437" s="2"/>
      <c r="B437" s="2"/>
      <c r="C437" s="2"/>
      <c r="D437" s="2"/>
      <c r="E437" s="17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1"/>
      <c r="AE437" s="5"/>
      <c r="AF437" s="6"/>
      <c r="AG437" s="6"/>
      <c r="AH437" s="6"/>
      <c r="AI437" s="6"/>
      <c r="AJ437" s="2"/>
    </row>
    <row r="438" spans="1:36" ht="13.2" x14ac:dyDescent="0.25">
      <c r="A438" s="2"/>
      <c r="B438" s="2"/>
      <c r="C438" s="2"/>
      <c r="D438" s="2"/>
      <c r="E438" s="17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1"/>
      <c r="AE438" s="5"/>
      <c r="AF438" s="6"/>
      <c r="AG438" s="6"/>
      <c r="AH438" s="6"/>
      <c r="AI438" s="6"/>
      <c r="AJ438" s="2"/>
    </row>
    <row r="439" spans="1:36" ht="13.2" x14ac:dyDescent="0.25">
      <c r="A439" s="2"/>
      <c r="B439" s="2"/>
      <c r="C439" s="2"/>
      <c r="D439" s="2"/>
      <c r="E439" s="17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1"/>
      <c r="AE439" s="5"/>
      <c r="AF439" s="6"/>
      <c r="AG439" s="6"/>
      <c r="AH439" s="6"/>
      <c r="AI439" s="6"/>
      <c r="AJ439" s="2"/>
    </row>
    <row r="440" spans="1:36" ht="13.2" x14ac:dyDescent="0.25">
      <c r="A440" s="2"/>
      <c r="B440" s="2"/>
      <c r="C440" s="2"/>
      <c r="D440" s="2"/>
      <c r="E440" s="17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1"/>
      <c r="AE440" s="5"/>
      <c r="AF440" s="6"/>
      <c r="AG440" s="6"/>
      <c r="AH440" s="6"/>
      <c r="AI440" s="6"/>
      <c r="AJ440" s="2"/>
    </row>
    <row r="441" spans="1:36" ht="13.2" x14ac:dyDescent="0.25">
      <c r="A441" s="2"/>
      <c r="B441" s="2"/>
      <c r="C441" s="2"/>
      <c r="D441" s="2"/>
      <c r="E441" s="17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1"/>
      <c r="AE441" s="5"/>
      <c r="AF441" s="6"/>
      <c r="AG441" s="6"/>
      <c r="AH441" s="6"/>
      <c r="AI441" s="6"/>
      <c r="AJ441" s="2"/>
    </row>
    <row r="442" spans="1:36" ht="13.2" x14ac:dyDescent="0.25">
      <c r="A442" s="2"/>
      <c r="B442" s="2"/>
      <c r="C442" s="2"/>
      <c r="D442" s="2"/>
      <c r="E442" s="17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1"/>
      <c r="AE442" s="5"/>
      <c r="AF442" s="6"/>
      <c r="AG442" s="6"/>
      <c r="AH442" s="6"/>
      <c r="AI442" s="6"/>
      <c r="AJ442" s="2"/>
    </row>
    <row r="443" spans="1:36" ht="13.2" x14ac:dyDescent="0.25">
      <c r="A443" s="2"/>
      <c r="B443" s="2"/>
      <c r="C443" s="2"/>
      <c r="D443" s="2"/>
      <c r="E443" s="17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1"/>
      <c r="AE443" s="5"/>
      <c r="AF443" s="6"/>
      <c r="AG443" s="6"/>
      <c r="AH443" s="6"/>
      <c r="AI443" s="6"/>
      <c r="AJ443" s="2"/>
    </row>
    <row r="444" spans="1:36" ht="13.2" x14ac:dyDescent="0.25">
      <c r="A444" s="2"/>
      <c r="B444" s="2"/>
      <c r="C444" s="2"/>
      <c r="D444" s="2"/>
      <c r="E444" s="17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1"/>
      <c r="AE444" s="5"/>
      <c r="AF444" s="6"/>
      <c r="AG444" s="6"/>
      <c r="AH444" s="6"/>
      <c r="AI444" s="6"/>
      <c r="AJ444" s="2"/>
    </row>
    <row r="445" spans="1:36" ht="13.2" x14ac:dyDescent="0.25">
      <c r="A445" s="2"/>
      <c r="B445" s="2"/>
      <c r="C445" s="2"/>
      <c r="D445" s="2"/>
      <c r="E445" s="17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1"/>
      <c r="AE445" s="5"/>
      <c r="AF445" s="6"/>
      <c r="AG445" s="6"/>
      <c r="AH445" s="6"/>
      <c r="AI445" s="6"/>
      <c r="AJ445" s="2"/>
    </row>
    <row r="446" spans="1:36" ht="13.2" x14ac:dyDescent="0.25">
      <c r="A446" s="2"/>
      <c r="B446" s="2"/>
      <c r="C446" s="2"/>
      <c r="D446" s="2"/>
      <c r="E446" s="17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1"/>
      <c r="AE446" s="5"/>
      <c r="AF446" s="6"/>
      <c r="AG446" s="6"/>
      <c r="AH446" s="6"/>
      <c r="AI446" s="6"/>
      <c r="AJ446" s="2"/>
    </row>
    <row r="447" spans="1:36" ht="13.2" x14ac:dyDescent="0.25">
      <c r="A447" s="2"/>
      <c r="B447" s="2"/>
      <c r="C447" s="2"/>
      <c r="D447" s="2"/>
      <c r="E447" s="17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1"/>
      <c r="AE447" s="5"/>
      <c r="AF447" s="6"/>
      <c r="AG447" s="6"/>
      <c r="AH447" s="6"/>
      <c r="AI447" s="6"/>
      <c r="AJ447" s="2"/>
    </row>
    <row r="448" spans="1:36" ht="13.2" x14ac:dyDescent="0.25">
      <c r="A448" s="2"/>
      <c r="B448" s="2"/>
      <c r="C448" s="2"/>
      <c r="D448" s="2"/>
      <c r="E448" s="17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1"/>
      <c r="AE448" s="5"/>
      <c r="AF448" s="6"/>
      <c r="AG448" s="6"/>
      <c r="AH448" s="6"/>
      <c r="AI448" s="6"/>
      <c r="AJ448" s="2"/>
    </row>
    <row r="449" spans="1:36" ht="13.2" x14ac:dyDescent="0.25">
      <c r="A449" s="2"/>
      <c r="B449" s="2"/>
      <c r="C449" s="2"/>
      <c r="D449" s="2"/>
      <c r="E449" s="17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1"/>
      <c r="AE449" s="5"/>
      <c r="AF449" s="6"/>
      <c r="AG449" s="6"/>
      <c r="AH449" s="6"/>
      <c r="AI449" s="6"/>
      <c r="AJ449" s="2"/>
    </row>
    <row r="450" spans="1:36" ht="13.2" x14ac:dyDescent="0.25">
      <c r="A450" s="2"/>
      <c r="B450" s="2"/>
      <c r="C450" s="2"/>
      <c r="D450" s="2"/>
      <c r="E450" s="17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1"/>
      <c r="AE450" s="5"/>
      <c r="AF450" s="6"/>
      <c r="AG450" s="6"/>
      <c r="AH450" s="6"/>
      <c r="AI450" s="6"/>
      <c r="AJ450" s="2"/>
    </row>
    <row r="451" spans="1:36" ht="13.2" x14ac:dyDescent="0.25">
      <c r="A451" s="2"/>
      <c r="B451" s="2"/>
      <c r="C451" s="2"/>
      <c r="D451" s="2"/>
      <c r="E451" s="17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1"/>
      <c r="AE451" s="5"/>
      <c r="AF451" s="6"/>
      <c r="AG451" s="6"/>
      <c r="AH451" s="6"/>
      <c r="AI451" s="6"/>
      <c r="AJ451" s="2"/>
    </row>
    <row r="452" spans="1:36" ht="13.2" x14ac:dyDescent="0.25">
      <c r="A452" s="2"/>
      <c r="B452" s="2"/>
      <c r="C452" s="2"/>
      <c r="D452" s="2"/>
      <c r="E452" s="17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1"/>
      <c r="AE452" s="5"/>
      <c r="AF452" s="6"/>
      <c r="AG452" s="6"/>
      <c r="AH452" s="6"/>
      <c r="AI452" s="6"/>
      <c r="AJ452" s="2"/>
    </row>
    <row r="453" spans="1:36" ht="13.2" x14ac:dyDescent="0.25">
      <c r="A453" s="2"/>
      <c r="B453" s="2"/>
      <c r="C453" s="2"/>
      <c r="D453" s="2"/>
      <c r="E453" s="17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1"/>
      <c r="AE453" s="5"/>
      <c r="AF453" s="6"/>
      <c r="AG453" s="6"/>
      <c r="AH453" s="6"/>
      <c r="AI453" s="6"/>
      <c r="AJ453" s="2"/>
    </row>
    <row r="454" spans="1:36" ht="13.2" x14ac:dyDescent="0.25">
      <c r="A454" s="2"/>
      <c r="B454" s="2"/>
      <c r="C454" s="2"/>
      <c r="D454" s="2"/>
      <c r="E454" s="17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1"/>
      <c r="AE454" s="5"/>
      <c r="AF454" s="6"/>
      <c r="AG454" s="6"/>
      <c r="AH454" s="6"/>
      <c r="AI454" s="6"/>
      <c r="AJ454" s="2"/>
    </row>
    <row r="455" spans="1:36" ht="13.2" x14ac:dyDescent="0.25">
      <c r="A455" s="2"/>
      <c r="B455" s="2"/>
      <c r="C455" s="2"/>
      <c r="D455" s="2"/>
      <c r="E455" s="17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1"/>
      <c r="AE455" s="5"/>
      <c r="AF455" s="6"/>
      <c r="AG455" s="6"/>
      <c r="AH455" s="6"/>
      <c r="AI455" s="6"/>
      <c r="AJ455" s="2"/>
    </row>
    <row r="456" spans="1:36" ht="13.2" x14ac:dyDescent="0.25">
      <c r="A456" s="2"/>
      <c r="B456" s="2"/>
      <c r="C456" s="2"/>
      <c r="D456" s="2"/>
      <c r="E456" s="17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1"/>
      <c r="AE456" s="5"/>
      <c r="AF456" s="6"/>
      <c r="AG456" s="6"/>
      <c r="AH456" s="6"/>
      <c r="AI456" s="6"/>
      <c r="AJ456" s="2"/>
    </row>
    <row r="457" spans="1:36" ht="13.2" x14ac:dyDescent="0.25">
      <c r="A457" s="2"/>
      <c r="B457" s="2"/>
      <c r="C457" s="2"/>
      <c r="D457" s="2"/>
      <c r="E457" s="17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1"/>
      <c r="AE457" s="5"/>
      <c r="AF457" s="6"/>
      <c r="AG457" s="6"/>
      <c r="AH457" s="6"/>
      <c r="AI457" s="6"/>
      <c r="AJ457" s="2"/>
    </row>
    <row r="458" spans="1:36" ht="13.2" x14ac:dyDescent="0.25">
      <c r="A458" s="2"/>
      <c r="B458" s="2"/>
      <c r="C458" s="2"/>
      <c r="D458" s="2"/>
      <c r="E458" s="17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1"/>
      <c r="AE458" s="5"/>
      <c r="AF458" s="6"/>
      <c r="AG458" s="6"/>
      <c r="AH458" s="6"/>
      <c r="AI458" s="6"/>
      <c r="AJ458" s="2"/>
    </row>
    <row r="459" spans="1:36" ht="13.2" x14ac:dyDescent="0.25">
      <c r="A459" s="2"/>
      <c r="B459" s="2"/>
      <c r="C459" s="2"/>
      <c r="D459" s="2"/>
      <c r="E459" s="17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1"/>
      <c r="AE459" s="5"/>
      <c r="AF459" s="6"/>
      <c r="AG459" s="6"/>
      <c r="AH459" s="6"/>
      <c r="AI459" s="6"/>
      <c r="AJ459" s="2"/>
    </row>
    <row r="460" spans="1:36" ht="13.2" x14ac:dyDescent="0.25">
      <c r="A460" s="2"/>
      <c r="B460" s="2"/>
      <c r="C460" s="2"/>
      <c r="D460" s="2"/>
      <c r="E460" s="17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1"/>
      <c r="AE460" s="5"/>
      <c r="AF460" s="6"/>
      <c r="AG460" s="6"/>
      <c r="AH460" s="6"/>
      <c r="AI460" s="6"/>
      <c r="AJ460" s="2"/>
    </row>
    <row r="461" spans="1:36" ht="13.2" x14ac:dyDescent="0.25">
      <c r="A461" s="2"/>
      <c r="B461" s="2"/>
      <c r="C461" s="2"/>
      <c r="D461" s="2"/>
      <c r="E461" s="17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1"/>
      <c r="AE461" s="5"/>
      <c r="AF461" s="6"/>
      <c r="AG461" s="6"/>
      <c r="AH461" s="6"/>
      <c r="AI461" s="6"/>
      <c r="AJ461" s="2"/>
    </row>
    <row r="462" spans="1:36" ht="13.2" x14ac:dyDescent="0.25">
      <c r="A462" s="2"/>
      <c r="B462" s="2"/>
      <c r="C462" s="2"/>
      <c r="D462" s="2"/>
      <c r="E462" s="17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1"/>
      <c r="AE462" s="5"/>
      <c r="AF462" s="6"/>
      <c r="AG462" s="6"/>
      <c r="AH462" s="6"/>
      <c r="AI462" s="6"/>
      <c r="AJ462" s="2"/>
    </row>
    <row r="463" spans="1:36" ht="13.2" x14ac:dyDescent="0.25">
      <c r="A463" s="2"/>
      <c r="B463" s="2"/>
      <c r="C463" s="2"/>
      <c r="D463" s="2"/>
      <c r="E463" s="17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1"/>
      <c r="AE463" s="5"/>
      <c r="AF463" s="6"/>
      <c r="AG463" s="6"/>
      <c r="AH463" s="6"/>
      <c r="AI463" s="6"/>
      <c r="AJ463" s="2"/>
    </row>
    <row r="464" spans="1:36" ht="13.2" x14ac:dyDescent="0.25">
      <c r="A464" s="2"/>
      <c r="B464" s="2"/>
      <c r="C464" s="2"/>
      <c r="D464" s="2"/>
      <c r="E464" s="17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1"/>
      <c r="AE464" s="5"/>
      <c r="AF464" s="6"/>
      <c r="AG464" s="6"/>
      <c r="AH464" s="6"/>
      <c r="AI464" s="6"/>
      <c r="AJ464" s="2"/>
    </row>
    <row r="465" spans="1:36" ht="13.2" x14ac:dyDescent="0.25">
      <c r="A465" s="2"/>
      <c r="B465" s="2"/>
      <c r="C465" s="2"/>
      <c r="D465" s="2"/>
      <c r="E465" s="17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1"/>
      <c r="AE465" s="5"/>
      <c r="AF465" s="6"/>
      <c r="AG465" s="6"/>
      <c r="AH465" s="6"/>
      <c r="AI465" s="6"/>
      <c r="AJ465" s="2"/>
    </row>
    <row r="466" spans="1:36" ht="13.2" x14ac:dyDescent="0.25">
      <c r="A466" s="2"/>
      <c r="B466" s="2"/>
      <c r="C466" s="2"/>
      <c r="D466" s="2"/>
      <c r="E466" s="17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1"/>
      <c r="AE466" s="5"/>
      <c r="AF466" s="6"/>
      <c r="AG466" s="6"/>
      <c r="AH466" s="6"/>
      <c r="AI466" s="6"/>
      <c r="AJ466" s="2"/>
    </row>
    <row r="467" spans="1:36" ht="13.2" x14ac:dyDescent="0.25">
      <c r="A467" s="2"/>
      <c r="B467" s="2"/>
      <c r="C467" s="2"/>
      <c r="D467" s="2"/>
      <c r="E467" s="17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1"/>
      <c r="AE467" s="5"/>
      <c r="AF467" s="6"/>
      <c r="AG467" s="6"/>
      <c r="AH467" s="6"/>
      <c r="AI467" s="6"/>
      <c r="AJ467" s="2"/>
    </row>
    <row r="468" spans="1:36" ht="13.2" x14ac:dyDescent="0.25">
      <c r="A468" s="2"/>
      <c r="B468" s="2"/>
      <c r="C468" s="2"/>
      <c r="D468" s="2"/>
      <c r="E468" s="17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1"/>
      <c r="AE468" s="5"/>
      <c r="AF468" s="6"/>
      <c r="AG468" s="6"/>
      <c r="AH468" s="6"/>
      <c r="AI468" s="6"/>
      <c r="AJ468" s="2"/>
    </row>
    <row r="469" spans="1:36" ht="13.2" x14ac:dyDescent="0.25">
      <c r="A469" s="2"/>
      <c r="B469" s="2"/>
      <c r="C469" s="2"/>
      <c r="D469" s="2"/>
      <c r="E469" s="17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1"/>
      <c r="AE469" s="5"/>
      <c r="AF469" s="6"/>
      <c r="AG469" s="6"/>
      <c r="AH469" s="6"/>
      <c r="AI469" s="6"/>
      <c r="AJ469" s="2"/>
    </row>
    <row r="470" spans="1:36" ht="13.2" x14ac:dyDescent="0.25">
      <c r="A470" s="2"/>
      <c r="B470" s="2"/>
      <c r="C470" s="2"/>
      <c r="D470" s="2"/>
      <c r="E470" s="17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1"/>
      <c r="AE470" s="5"/>
      <c r="AF470" s="6"/>
      <c r="AG470" s="6"/>
      <c r="AH470" s="6"/>
      <c r="AI470" s="6"/>
      <c r="AJ470" s="2"/>
    </row>
    <row r="471" spans="1:36" ht="13.2" x14ac:dyDescent="0.25">
      <c r="A471" s="2"/>
      <c r="B471" s="2"/>
      <c r="C471" s="2"/>
      <c r="D471" s="2"/>
      <c r="E471" s="17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1"/>
      <c r="AE471" s="5"/>
      <c r="AF471" s="6"/>
      <c r="AG471" s="6"/>
      <c r="AH471" s="6"/>
      <c r="AI471" s="6"/>
      <c r="AJ471" s="2"/>
    </row>
    <row r="472" spans="1:36" ht="13.2" x14ac:dyDescent="0.25">
      <c r="A472" s="2"/>
      <c r="B472" s="2"/>
      <c r="C472" s="2"/>
      <c r="D472" s="2"/>
      <c r="E472" s="17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1"/>
      <c r="AE472" s="5"/>
      <c r="AF472" s="6"/>
      <c r="AG472" s="6"/>
      <c r="AH472" s="6"/>
      <c r="AI472" s="6"/>
      <c r="AJ472" s="2"/>
    </row>
    <row r="473" spans="1:36" ht="13.2" x14ac:dyDescent="0.25">
      <c r="A473" s="2"/>
      <c r="B473" s="2"/>
      <c r="C473" s="2"/>
      <c r="D473" s="2"/>
      <c r="E473" s="17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1"/>
      <c r="AE473" s="5"/>
      <c r="AF473" s="6"/>
      <c r="AG473" s="6"/>
      <c r="AH473" s="6"/>
      <c r="AI473" s="6"/>
      <c r="AJ473" s="2"/>
    </row>
    <row r="474" spans="1:36" ht="13.2" x14ac:dyDescent="0.25">
      <c r="A474" s="2"/>
      <c r="B474" s="2"/>
      <c r="C474" s="2"/>
      <c r="D474" s="2"/>
      <c r="E474" s="17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1"/>
      <c r="AE474" s="5"/>
      <c r="AF474" s="6"/>
      <c r="AG474" s="6"/>
      <c r="AH474" s="6"/>
      <c r="AI474" s="6"/>
      <c r="AJ474" s="2"/>
    </row>
    <row r="475" spans="1:36" ht="13.2" x14ac:dyDescent="0.25">
      <c r="A475" s="2"/>
      <c r="B475" s="2"/>
      <c r="C475" s="2"/>
      <c r="D475" s="2"/>
      <c r="E475" s="17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1"/>
      <c r="AE475" s="5"/>
      <c r="AF475" s="6"/>
      <c r="AG475" s="6"/>
      <c r="AH475" s="6"/>
      <c r="AI475" s="6"/>
      <c r="AJ475" s="2"/>
    </row>
    <row r="476" spans="1:36" ht="13.2" x14ac:dyDescent="0.25">
      <c r="A476" s="2"/>
      <c r="B476" s="2"/>
      <c r="C476" s="2"/>
      <c r="D476" s="2"/>
      <c r="E476" s="17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1"/>
      <c r="AE476" s="5"/>
      <c r="AF476" s="6"/>
      <c r="AG476" s="6"/>
      <c r="AH476" s="6"/>
      <c r="AI476" s="6"/>
      <c r="AJ476" s="2"/>
    </row>
    <row r="477" spans="1:36" ht="13.2" x14ac:dyDescent="0.25">
      <c r="A477" s="2"/>
      <c r="B477" s="2"/>
      <c r="C477" s="2"/>
      <c r="D477" s="2"/>
      <c r="E477" s="17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1"/>
      <c r="AE477" s="5"/>
      <c r="AF477" s="6"/>
      <c r="AG477" s="6"/>
      <c r="AH477" s="6"/>
      <c r="AI477" s="6"/>
      <c r="AJ477" s="2"/>
    </row>
    <row r="478" spans="1:36" ht="13.2" x14ac:dyDescent="0.25">
      <c r="A478" s="2"/>
      <c r="B478" s="2"/>
      <c r="C478" s="2"/>
      <c r="D478" s="2"/>
      <c r="E478" s="17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1"/>
      <c r="AE478" s="5"/>
      <c r="AF478" s="6"/>
      <c r="AG478" s="6"/>
      <c r="AH478" s="6"/>
      <c r="AI478" s="6"/>
      <c r="AJ478" s="2"/>
    </row>
    <row r="479" spans="1:36" ht="13.2" x14ac:dyDescent="0.25">
      <c r="A479" s="2"/>
      <c r="B479" s="2"/>
      <c r="C479" s="2"/>
      <c r="D479" s="2"/>
      <c r="E479" s="17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1"/>
      <c r="AE479" s="5"/>
      <c r="AF479" s="6"/>
      <c r="AG479" s="6"/>
      <c r="AH479" s="6"/>
      <c r="AI479" s="6"/>
      <c r="AJ479" s="2"/>
    </row>
    <row r="480" spans="1:36" ht="13.2" x14ac:dyDescent="0.25">
      <c r="A480" s="2"/>
      <c r="B480" s="2"/>
      <c r="C480" s="2"/>
      <c r="D480" s="2"/>
      <c r="E480" s="17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1"/>
      <c r="AE480" s="5"/>
      <c r="AF480" s="6"/>
      <c r="AG480" s="6"/>
      <c r="AH480" s="6"/>
      <c r="AI480" s="6"/>
      <c r="AJ480" s="2"/>
    </row>
    <row r="481" spans="1:36" ht="13.2" x14ac:dyDescent="0.25">
      <c r="A481" s="2"/>
      <c r="B481" s="2"/>
      <c r="C481" s="2"/>
      <c r="D481" s="2"/>
      <c r="E481" s="17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1"/>
      <c r="AE481" s="5"/>
      <c r="AF481" s="6"/>
      <c r="AG481" s="6"/>
      <c r="AH481" s="6"/>
      <c r="AI481" s="6"/>
      <c r="AJ481" s="2"/>
    </row>
    <row r="482" spans="1:36" ht="13.2" x14ac:dyDescent="0.25">
      <c r="A482" s="2"/>
      <c r="B482" s="2"/>
      <c r="C482" s="2"/>
      <c r="D482" s="2"/>
      <c r="E482" s="17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1"/>
      <c r="AE482" s="5"/>
      <c r="AF482" s="6"/>
      <c r="AG482" s="6"/>
      <c r="AH482" s="6"/>
      <c r="AI482" s="6"/>
      <c r="AJ482" s="2"/>
    </row>
    <row r="483" spans="1:36" ht="13.2" x14ac:dyDescent="0.25">
      <c r="A483" s="2"/>
      <c r="B483" s="2"/>
      <c r="C483" s="2"/>
      <c r="D483" s="2"/>
      <c r="E483" s="17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1"/>
      <c r="AE483" s="5"/>
      <c r="AF483" s="6"/>
      <c r="AG483" s="6"/>
      <c r="AH483" s="6"/>
      <c r="AI483" s="6"/>
      <c r="AJ483" s="2"/>
    </row>
    <row r="484" spans="1:36" ht="13.2" x14ac:dyDescent="0.25">
      <c r="A484" s="2"/>
      <c r="B484" s="2"/>
      <c r="C484" s="2"/>
      <c r="D484" s="2"/>
      <c r="E484" s="17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1"/>
      <c r="AE484" s="5"/>
      <c r="AF484" s="6"/>
      <c r="AG484" s="6"/>
      <c r="AH484" s="6"/>
      <c r="AI484" s="6"/>
      <c r="AJ484" s="2"/>
    </row>
    <row r="485" spans="1:36" ht="13.2" x14ac:dyDescent="0.25">
      <c r="A485" s="2"/>
      <c r="B485" s="2"/>
      <c r="C485" s="2"/>
      <c r="D485" s="2"/>
      <c r="E485" s="17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1"/>
      <c r="AE485" s="5"/>
      <c r="AF485" s="6"/>
      <c r="AG485" s="6"/>
      <c r="AH485" s="6"/>
      <c r="AI485" s="6"/>
      <c r="AJ485" s="2"/>
    </row>
    <row r="486" spans="1:36" ht="13.2" x14ac:dyDescent="0.25">
      <c r="A486" s="2"/>
      <c r="B486" s="2"/>
      <c r="C486" s="2"/>
      <c r="D486" s="2"/>
      <c r="E486" s="17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1"/>
      <c r="AE486" s="5"/>
      <c r="AF486" s="6"/>
      <c r="AG486" s="6"/>
      <c r="AH486" s="6"/>
      <c r="AI486" s="6"/>
      <c r="AJ486" s="2"/>
    </row>
    <row r="487" spans="1:36" ht="13.2" x14ac:dyDescent="0.25">
      <c r="A487" s="2"/>
      <c r="B487" s="2"/>
      <c r="C487" s="2"/>
      <c r="D487" s="2"/>
      <c r="E487" s="17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1"/>
      <c r="AE487" s="5"/>
      <c r="AF487" s="6"/>
      <c r="AG487" s="6"/>
      <c r="AH487" s="6"/>
      <c r="AI487" s="6"/>
      <c r="AJ487" s="2"/>
    </row>
    <row r="488" spans="1:36" ht="13.2" x14ac:dyDescent="0.25">
      <c r="A488" s="2"/>
      <c r="B488" s="2"/>
      <c r="C488" s="2"/>
      <c r="D488" s="2"/>
      <c r="E488" s="17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1"/>
      <c r="AE488" s="5"/>
      <c r="AF488" s="6"/>
      <c r="AG488" s="6"/>
      <c r="AH488" s="6"/>
      <c r="AI488" s="6"/>
      <c r="AJ488" s="2"/>
    </row>
    <row r="489" spans="1:36" ht="13.2" x14ac:dyDescent="0.25">
      <c r="A489" s="2"/>
      <c r="B489" s="2"/>
      <c r="C489" s="2"/>
      <c r="D489" s="2"/>
      <c r="E489" s="17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1"/>
      <c r="AE489" s="5"/>
      <c r="AF489" s="6"/>
      <c r="AG489" s="6"/>
      <c r="AH489" s="6"/>
      <c r="AI489" s="6"/>
      <c r="AJ489" s="2"/>
    </row>
    <row r="490" spans="1:36" ht="13.2" x14ac:dyDescent="0.25">
      <c r="A490" s="2"/>
      <c r="B490" s="2"/>
      <c r="C490" s="2"/>
      <c r="D490" s="2"/>
      <c r="E490" s="17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1"/>
      <c r="AE490" s="5"/>
      <c r="AF490" s="6"/>
      <c r="AG490" s="6"/>
      <c r="AH490" s="6"/>
      <c r="AI490" s="6"/>
      <c r="AJ490" s="2"/>
    </row>
    <row r="491" spans="1:36" ht="13.2" x14ac:dyDescent="0.25">
      <c r="A491" s="2"/>
      <c r="B491" s="2"/>
      <c r="C491" s="2"/>
      <c r="D491" s="2"/>
      <c r="E491" s="17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1"/>
      <c r="AE491" s="5"/>
      <c r="AF491" s="6"/>
      <c r="AG491" s="6"/>
      <c r="AH491" s="6"/>
      <c r="AI491" s="6"/>
      <c r="AJ491" s="2"/>
    </row>
    <row r="492" spans="1:36" ht="13.2" x14ac:dyDescent="0.25">
      <c r="A492" s="2"/>
      <c r="B492" s="2"/>
      <c r="C492" s="2"/>
      <c r="D492" s="2"/>
      <c r="E492" s="17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1"/>
      <c r="AE492" s="5"/>
      <c r="AF492" s="6"/>
      <c r="AG492" s="6"/>
      <c r="AH492" s="6"/>
      <c r="AI492" s="6"/>
      <c r="AJ492" s="2"/>
    </row>
    <row r="493" spans="1:36" ht="13.2" x14ac:dyDescent="0.25">
      <c r="A493" s="2"/>
      <c r="B493" s="2"/>
      <c r="C493" s="2"/>
      <c r="D493" s="2"/>
      <c r="E493" s="17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1"/>
      <c r="AE493" s="5"/>
      <c r="AF493" s="6"/>
      <c r="AG493" s="6"/>
      <c r="AH493" s="6"/>
      <c r="AI493" s="6"/>
      <c r="AJ493" s="2"/>
    </row>
    <row r="494" spans="1:36" ht="13.2" x14ac:dyDescent="0.25">
      <c r="A494" s="2"/>
      <c r="B494" s="2"/>
      <c r="C494" s="2"/>
      <c r="D494" s="2"/>
      <c r="E494" s="17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1"/>
      <c r="AE494" s="5"/>
      <c r="AF494" s="6"/>
      <c r="AG494" s="6"/>
      <c r="AH494" s="6"/>
      <c r="AI494" s="6"/>
      <c r="AJ494" s="2"/>
    </row>
    <row r="495" spans="1:36" ht="13.2" x14ac:dyDescent="0.25">
      <c r="A495" s="2"/>
      <c r="B495" s="2"/>
      <c r="C495" s="2"/>
      <c r="D495" s="2"/>
      <c r="E495" s="17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1"/>
      <c r="AE495" s="5"/>
      <c r="AF495" s="6"/>
      <c r="AG495" s="6"/>
      <c r="AH495" s="6"/>
      <c r="AI495" s="6"/>
      <c r="AJ495" s="2"/>
    </row>
    <row r="496" spans="1:36" ht="13.2" x14ac:dyDescent="0.25">
      <c r="A496" s="2"/>
      <c r="B496" s="2"/>
      <c r="C496" s="2"/>
      <c r="D496" s="2"/>
      <c r="E496" s="17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1"/>
      <c r="AE496" s="5"/>
      <c r="AF496" s="6"/>
      <c r="AG496" s="6"/>
      <c r="AH496" s="6"/>
      <c r="AI496" s="6"/>
      <c r="AJ496" s="2"/>
    </row>
    <row r="497" spans="1:36" ht="13.2" x14ac:dyDescent="0.25">
      <c r="A497" s="2"/>
      <c r="B497" s="2"/>
      <c r="C497" s="2"/>
      <c r="D497" s="2"/>
      <c r="E497" s="17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1"/>
      <c r="AE497" s="5"/>
      <c r="AF497" s="6"/>
      <c r="AG497" s="6"/>
      <c r="AH497" s="6"/>
      <c r="AI497" s="6"/>
      <c r="AJ497" s="2"/>
    </row>
    <row r="498" spans="1:36" ht="13.2" x14ac:dyDescent="0.25">
      <c r="A498" s="2"/>
      <c r="B498" s="2"/>
      <c r="C498" s="2"/>
      <c r="D498" s="2"/>
      <c r="E498" s="17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1"/>
      <c r="AE498" s="5"/>
      <c r="AF498" s="6"/>
      <c r="AG498" s="6"/>
      <c r="AH498" s="6"/>
      <c r="AI498" s="6"/>
      <c r="AJ498" s="2"/>
    </row>
    <row r="499" spans="1:36" ht="13.2" x14ac:dyDescent="0.25">
      <c r="A499" s="2"/>
      <c r="B499" s="2"/>
      <c r="C499" s="2"/>
      <c r="D499" s="2"/>
      <c r="E499" s="17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1"/>
      <c r="AE499" s="5"/>
      <c r="AF499" s="6"/>
      <c r="AG499" s="6"/>
      <c r="AH499" s="6"/>
      <c r="AI499" s="6"/>
      <c r="AJ499" s="2"/>
    </row>
    <row r="500" spans="1:36" ht="13.2" x14ac:dyDescent="0.25">
      <c r="A500" s="2"/>
      <c r="B500" s="2"/>
      <c r="C500" s="2"/>
      <c r="D500" s="2"/>
      <c r="E500" s="17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1"/>
      <c r="AE500" s="5"/>
      <c r="AF500" s="6"/>
      <c r="AG500" s="6"/>
      <c r="AH500" s="6"/>
      <c r="AI500" s="6"/>
      <c r="AJ500" s="2"/>
    </row>
    <row r="501" spans="1:36" ht="13.2" x14ac:dyDescent="0.25">
      <c r="A501" s="2"/>
      <c r="B501" s="2"/>
      <c r="C501" s="2"/>
      <c r="D501" s="2"/>
      <c r="E501" s="17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1"/>
      <c r="AE501" s="5"/>
      <c r="AF501" s="6"/>
      <c r="AG501" s="6"/>
      <c r="AH501" s="6"/>
      <c r="AI501" s="6"/>
      <c r="AJ501" s="2"/>
    </row>
    <row r="502" spans="1:36" ht="13.2" x14ac:dyDescent="0.25">
      <c r="A502" s="2"/>
      <c r="B502" s="2"/>
      <c r="C502" s="2"/>
      <c r="D502" s="2"/>
      <c r="E502" s="17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1"/>
      <c r="AE502" s="5"/>
      <c r="AF502" s="6"/>
      <c r="AG502" s="6"/>
      <c r="AH502" s="6"/>
      <c r="AI502" s="6"/>
      <c r="AJ502" s="2"/>
    </row>
    <row r="503" spans="1:36" ht="13.2" x14ac:dyDescent="0.25">
      <c r="A503" s="2"/>
      <c r="B503" s="2"/>
      <c r="C503" s="2"/>
      <c r="D503" s="2"/>
      <c r="E503" s="17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1"/>
      <c r="AE503" s="5"/>
      <c r="AF503" s="6"/>
      <c r="AG503" s="6"/>
      <c r="AH503" s="6"/>
      <c r="AI503" s="6"/>
      <c r="AJ503" s="2"/>
    </row>
    <row r="504" spans="1:36" ht="13.2" x14ac:dyDescent="0.25">
      <c r="A504" s="2"/>
      <c r="B504" s="2"/>
      <c r="C504" s="2"/>
      <c r="D504" s="2"/>
      <c r="E504" s="17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1"/>
      <c r="AE504" s="5"/>
      <c r="AF504" s="6"/>
      <c r="AG504" s="6"/>
      <c r="AH504" s="6"/>
      <c r="AI504" s="6"/>
      <c r="AJ504" s="2"/>
    </row>
    <row r="505" spans="1:36" ht="13.2" x14ac:dyDescent="0.25">
      <c r="A505" s="2"/>
      <c r="B505" s="2"/>
      <c r="C505" s="2"/>
      <c r="D505" s="2"/>
      <c r="E505" s="17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1"/>
      <c r="AE505" s="5"/>
      <c r="AF505" s="6"/>
      <c r="AG505" s="6"/>
      <c r="AH505" s="6"/>
      <c r="AI505" s="6"/>
      <c r="AJ505" s="2"/>
    </row>
    <row r="506" spans="1:36" ht="13.2" x14ac:dyDescent="0.25">
      <c r="A506" s="2"/>
      <c r="B506" s="2"/>
      <c r="C506" s="2"/>
      <c r="D506" s="2"/>
      <c r="E506" s="17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1"/>
      <c r="AE506" s="5"/>
      <c r="AF506" s="6"/>
      <c r="AG506" s="6"/>
      <c r="AH506" s="6"/>
      <c r="AI506" s="6"/>
      <c r="AJ506" s="2"/>
    </row>
    <row r="507" spans="1:36" ht="13.2" x14ac:dyDescent="0.25">
      <c r="A507" s="2"/>
      <c r="B507" s="2"/>
      <c r="C507" s="2"/>
      <c r="D507" s="2"/>
      <c r="E507" s="17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1"/>
      <c r="AE507" s="5"/>
      <c r="AF507" s="6"/>
      <c r="AG507" s="6"/>
      <c r="AH507" s="6"/>
      <c r="AI507" s="6"/>
      <c r="AJ507" s="2"/>
    </row>
    <row r="508" spans="1:36" ht="13.2" x14ac:dyDescent="0.25">
      <c r="A508" s="2"/>
      <c r="B508" s="2"/>
      <c r="C508" s="2"/>
      <c r="D508" s="2"/>
      <c r="E508" s="17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1"/>
      <c r="AE508" s="5"/>
      <c r="AF508" s="6"/>
      <c r="AG508" s="6"/>
      <c r="AH508" s="6"/>
      <c r="AI508" s="6"/>
      <c r="AJ508" s="2"/>
    </row>
    <row r="509" spans="1:36" ht="13.2" x14ac:dyDescent="0.25">
      <c r="A509" s="2"/>
      <c r="B509" s="2"/>
      <c r="C509" s="2"/>
      <c r="D509" s="2"/>
      <c r="E509" s="17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1"/>
      <c r="AE509" s="5"/>
      <c r="AF509" s="6"/>
      <c r="AG509" s="6"/>
      <c r="AH509" s="6"/>
      <c r="AI509" s="6"/>
      <c r="AJ509" s="2"/>
    </row>
    <row r="510" spans="1:36" ht="13.2" x14ac:dyDescent="0.25">
      <c r="A510" s="2"/>
      <c r="B510" s="2"/>
      <c r="C510" s="2"/>
      <c r="D510" s="2"/>
      <c r="E510" s="17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1"/>
      <c r="AE510" s="5"/>
      <c r="AF510" s="6"/>
      <c r="AG510" s="6"/>
      <c r="AH510" s="6"/>
      <c r="AI510" s="6"/>
      <c r="AJ510" s="2"/>
    </row>
    <row r="511" spans="1:36" ht="13.2" x14ac:dyDescent="0.25">
      <c r="A511" s="2"/>
      <c r="B511" s="2"/>
      <c r="C511" s="2"/>
      <c r="D511" s="2"/>
      <c r="E511" s="17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1"/>
      <c r="AE511" s="5"/>
      <c r="AF511" s="6"/>
      <c r="AG511" s="6"/>
      <c r="AH511" s="6"/>
      <c r="AI511" s="6"/>
      <c r="AJ511" s="2"/>
    </row>
    <row r="512" spans="1:36" ht="13.2" x14ac:dyDescent="0.25">
      <c r="A512" s="2"/>
      <c r="B512" s="2"/>
      <c r="C512" s="2"/>
      <c r="D512" s="2"/>
      <c r="E512" s="17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1"/>
      <c r="AE512" s="5"/>
      <c r="AF512" s="6"/>
      <c r="AG512" s="6"/>
      <c r="AH512" s="6"/>
      <c r="AI512" s="6"/>
      <c r="AJ512" s="2"/>
    </row>
    <row r="513" spans="1:36" ht="13.2" x14ac:dyDescent="0.25">
      <c r="A513" s="2"/>
      <c r="B513" s="2"/>
      <c r="C513" s="2"/>
      <c r="D513" s="2"/>
      <c r="E513" s="17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1"/>
      <c r="AE513" s="5"/>
      <c r="AF513" s="6"/>
      <c r="AG513" s="6"/>
      <c r="AH513" s="6"/>
      <c r="AI513" s="6"/>
      <c r="AJ513" s="2"/>
    </row>
    <row r="514" spans="1:36" ht="13.2" x14ac:dyDescent="0.25">
      <c r="A514" s="2"/>
      <c r="B514" s="2"/>
      <c r="C514" s="2"/>
      <c r="D514" s="2"/>
      <c r="E514" s="17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1"/>
      <c r="AE514" s="5"/>
      <c r="AF514" s="6"/>
      <c r="AG514" s="6"/>
      <c r="AH514" s="6"/>
      <c r="AI514" s="6"/>
      <c r="AJ514" s="2"/>
    </row>
    <row r="515" spans="1:36" ht="13.2" x14ac:dyDescent="0.25">
      <c r="A515" s="2"/>
      <c r="B515" s="2"/>
      <c r="C515" s="2"/>
      <c r="D515" s="2"/>
      <c r="E515" s="17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1"/>
      <c r="AE515" s="5"/>
      <c r="AF515" s="6"/>
      <c r="AG515" s="6"/>
      <c r="AH515" s="6"/>
      <c r="AI515" s="6"/>
      <c r="AJ515" s="2"/>
    </row>
    <row r="516" spans="1:36" ht="13.2" x14ac:dyDescent="0.25">
      <c r="A516" s="2"/>
      <c r="B516" s="2"/>
      <c r="C516" s="2"/>
      <c r="D516" s="2"/>
      <c r="E516" s="17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1"/>
      <c r="AE516" s="5"/>
      <c r="AF516" s="6"/>
      <c r="AG516" s="6"/>
      <c r="AH516" s="6"/>
      <c r="AI516" s="6"/>
      <c r="AJ516" s="2"/>
    </row>
    <row r="517" spans="1:36" ht="13.2" x14ac:dyDescent="0.25">
      <c r="A517" s="2"/>
      <c r="B517" s="2"/>
      <c r="C517" s="2"/>
      <c r="D517" s="2"/>
      <c r="E517" s="17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1"/>
      <c r="AE517" s="5"/>
      <c r="AF517" s="6"/>
      <c r="AG517" s="6"/>
      <c r="AH517" s="6"/>
      <c r="AI517" s="6"/>
      <c r="AJ517" s="2"/>
    </row>
    <row r="518" spans="1:36" ht="13.2" x14ac:dyDescent="0.25">
      <c r="A518" s="2"/>
      <c r="B518" s="2"/>
      <c r="C518" s="2"/>
      <c r="D518" s="2"/>
      <c r="E518" s="17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1"/>
      <c r="AE518" s="5"/>
      <c r="AF518" s="6"/>
      <c r="AG518" s="6"/>
      <c r="AH518" s="6"/>
      <c r="AI518" s="6"/>
      <c r="AJ518" s="2"/>
    </row>
    <row r="519" spans="1:36" ht="13.2" x14ac:dyDescent="0.25">
      <c r="A519" s="2"/>
      <c r="B519" s="2"/>
      <c r="C519" s="2"/>
      <c r="D519" s="2"/>
      <c r="E519" s="17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1"/>
      <c r="AE519" s="5"/>
      <c r="AF519" s="6"/>
      <c r="AG519" s="6"/>
      <c r="AH519" s="6"/>
      <c r="AI519" s="6"/>
      <c r="AJ519" s="2"/>
    </row>
    <row r="520" spans="1:36" ht="13.2" x14ac:dyDescent="0.25">
      <c r="A520" s="2"/>
      <c r="B520" s="2"/>
      <c r="C520" s="2"/>
      <c r="D520" s="2"/>
      <c r="E520" s="17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1"/>
      <c r="AE520" s="5"/>
      <c r="AF520" s="6"/>
      <c r="AG520" s="6"/>
      <c r="AH520" s="6"/>
      <c r="AI520" s="6"/>
      <c r="AJ520" s="2"/>
    </row>
    <row r="521" spans="1:36" ht="13.2" x14ac:dyDescent="0.25">
      <c r="A521" s="2"/>
      <c r="B521" s="2"/>
      <c r="C521" s="2"/>
      <c r="D521" s="2"/>
      <c r="E521" s="17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1"/>
      <c r="AE521" s="5"/>
      <c r="AF521" s="6"/>
      <c r="AG521" s="6"/>
      <c r="AH521" s="6"/>
      <c r="AI521" s="6"/>
      <c r="AJ521" s="2"/>
    </row>
    <row r="522" spans="1:36" ht="13.2" x14ac:dyDescent="0.25">
      <c r="A522" s="2"/>
      <c r="B522" s="2"/>
      <c r="C522" s="2"/>
      <c r="D522" s="2"/>
      <c r="E522" s="17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1"/>
      <c r="AE522" s="5"/>
      <c r="AF522" s="6"/>
      <c r="AG522" s="6"/>
      <c r="AH522" s="6"/>
      <c r="AI522" s="6"/>
      <c r="AJ522" s="2"/>
    </row>
    <row r="523" spans="1:36" ht="13.2" x14ac:dyDescent="0.25">
      <c r="A523" s="2"/>
      <c r="B523" s="2"/>
      <c r="C523" s="2"/>
      <c r="D523" s="2"/>
      <c r="E523" s="17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1"/>
      <c r="AE523" s="5"/>
      <c r="AF523" s="6"/>
      <c r="AG523" s="6"/>
      <c r="AH523" s="6"/>
      <c r="AI523" s="6"/>
      <c r="AJ523" s="2"/>
    </row>
    <row r="524" spans="1:36" ht="13.2" x14ac:dyDescent="0.25">
      <c r="A524" s="2"/>
      <c r="B524" s="2"/>
      <c r="C524" s="2"/>
      <c r="D524" s="2"/>
      <c r="E524" s="17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1"/>
      <c r="AE524" s="5"/>
      <c r="AF524" s="6"/>
      <c r="AG524" s="6"/>
      <c r="AH524" s="6"/>
      <c r="AI524" s="6"/>
      <c r="AJ524" s="2"/>
    </row>
    <row r="525" spans="1:36" ht="13.2" x14ac:dyDescent="0.25">
      <c r="A525" s="2"/>
      <c r="B525" s="2"/>
      <c r="C525" s="2"/>
      <c r="D525" s="2"/>
      <c r="E525" s="17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1"/>
      <c r="AE525" s="5"/>
      <c r="AF525" s="6"/>
      <c r="AG525" s="6"/>
      <c r="AH525" s="6"/>
      <c r="AI525" s="6"/>
      <c r="AJ525" s="2"/>
    </row>
    <row r="526" spans="1:36" ht="13.2" x14ac:dyDescent="0.25">
      <c r="A526" s="2"/>
      <c r="B526" s="2"/>
      <c r="C526" s="2"/>
      <c r="D526" s="2"/>
      <c r="E526" s="17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1"/>
      <c r="AE526" s="5"/>
      <c r="AF526" s="6"/>
      <c r="AG526" s="6"/>
      <c r="AH526" s="6"/>
      <c r="AI526" s="6"/>
      <c r="AJ526" s="2"/>
    </row>
    <row r="527" spans="1:36" ht="13.2" x14ac:dyDescent="0.25">
      <c r="A527" s="2"/>
      <c r="B527" s="2"/>
      <c r="C527" s="2"/>
      <c r="D527" s="2"/>
      <c r="E527" s="17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1"/>
      <c r="AE527" s="5"/>
      <c r="AF527" s="6"/>
      <c r="AG527" s="6"/>
      <c r="AH527" s="6"/>
      <c r="AI527" s="6"/>
      <c r="AJ527" s="2"/>
    </row>
    <row r="528" spans="1:36" ht="13.2" x14ac:dyDescent="0.25">
      <c r="A528" s="2"/>
      <c r="B528" s="2"/>
      <c r="C528" s="2"/>
      <c r="D528" s="2"/>
      <c r="E528" s="17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1"/>
      <c r="AE528" s="5"/>
      <c r="AF528" s="6"/>
      <c r="AG528" s="6"/>
      <c r="AH528" s="6"/>
      <c r="AI528" s="6"/>
      <c r="AJ528" s="2"/>
    </row>
    <row r="529" spans="1:36" ht="13.2" x14ac:dyDescent="0.25">
      <c r="A529" s="2"/>
      <c r="B529" s="2"/>
      <c r="C529" s="2"/>
      <c r="D529" s="2"/>
      <c r="E529" s="17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1"/>
      <c r="AE529" s="5"/>
      <c r="AF529" s="6"/>
      <c r="AG529" s="6"/>
      <c r="AH529" s="6"/>
      <c r="AI529" s="6"/>
      <c r="AJ529" s="2"/>
    </row>
    <row r="530" spans="1:36" ht="13.2" x14ac:dyDescent="0.25">
      <c r="A530" s="2"/>
      <c r="B530" s="2"/>
      <c r="C530" s="2"/>
      <c r="D530" s="2"/>
      <c r="E530" s="17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1"/>
      <c r="AE530" s="5"/>
      <c r="AF530" s="6"/>
      <c r="AG530" s="6"/>
      <c r="AH530" s="6"/>
      <c r="AI530" s="6"/>
      <c r="AJ530" s="2"/>
    </row>
    <row r="531" spans="1:36" ht="13.2" x14ac:dyDescent="0.25">
      <c r="A531" s="2"/>
      <c r="B531" s="2"/>
      <c r="C531" s="2"/>
      <c r="D531" s="2"/>
      <c r="E531" s="17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1"/>
      <c r="AE531" s="5"/>
      <c r="AF531" s="6"/>
      <c r="AG531" s="6"/>
      <c r="AH531" s="6"/>
      <c r="AI531" s="6"/>
      <c r="AJ531" s="2"/>
    </row>
    <row r="532" spans="1:36" ht="13.2" x14ac:dyDescent="0.25">
      <c r="A532" s="2"/>
      <c r="B532" s="2"/>
      <c r="C532" s="2"/>
      <c r="D532" s="2"/>
      <c r="E532" s="17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1"/>
      <c r="AE532" s="5"/>
      <c r="AF532" s="6"/>
      <c r="AG532" s="6"/>
      <c r="AH532" s="6"/>
      <c r="AI532" s="6"/>
      <c r="AJ532" s="2"/>
    </row>
    <row r="533" spans="1:36" ht="13.2" x14ac:dyDescent="0.25">
      <c r="A533" s="2"/>
      <c r="B533" s="2"/>
      <c r="C533" s="2"/>
      <c r="D533" s="2"/>
      <c r="E533" s="17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1"/>
      <c r="AE533" s="5"/>
      <c r="AF533" s="6"/>
      <c r="AG533" s="6"/>
      <c r="AH533" s="6"/>
      <c r="AI533" s="6"/>
      <c r="AJ533" s="2"/>
    </row>
    <row r="534" spans="1:36" ht="13.2" x14ac:dyDescent="0.25">
      <c r="A534" s="2"/>
      <c r="B534" s="2"/>
      <c r="C534" s="2"/>
      <c r="D534" s="2"/>
      <c r="E534" s="17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1"/>
      <c r="AE534" s="5"/>
      <c r="AF534" s="6"/>
      <c r="AG534" s="6"/>
      <c r="AH534" s="6"/>
      <c r="AI534" s="6"/>
      <c r="AJ534" s="2"/>
    </row>
    <row r="535" spans="1:36" ht="13.2" x14ac:dyDescent="0.25">
      <c r="A535" s="2"/>
      <c r="B535" s="2"/>
      <c r="C535" s="2"/>
      <c r="D535" s="2"/>
      <c r="E535" s="17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1"/>
      <c r="AE535" s="5"/>
      <c r="AF535" s="6"/>
      <c r="AG535" s="6"/>
      <c r="AH535" s="6"/>
      <c r="AI535" s="6"/>
      <c r="AJ535" s="2"/>
    </row>
    <row r="536" spans="1:36" ht="13.2" x14ac:dyDescent="0.25">
      <c r="A536" s="2"/>
      <c r="B536" s="2"/>
      <c r="C536" s="2"/>
      <c r="D536" s="2"/>
      <c r="E536" s="17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1"/>
      <c r="AE536" s="5"/>
      <c r="AF536" s="6"/>
      <c r="AG536" s="6"/>
      <c r="AH536" s="6"/>
      <c r="AI536" s="6"/>
      <c r="AJ536" s="2"/>
    </row>
    <row r="537" spans="1:36" ht="13.2" x14ac:dyDescent="0.25">
      <c r="A537" s="2"/>
      <c r="B537" s="2"/>
      <c r="C537" s="2"/>
      <c r="D537" s="2"/>
      <c r="E537" s="17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1"/>
      <c r="AE537" s="5"/>
      <c r="AF537" s="6"/>
      <c r="AG537" s="6"/>
      <c r="AH537" s="6"/>
      <c r="AI537" s="6"/>
      <c r="AJ537" s="2"/>
    </row>
    <row r="538" spans="1:36" ht="13.2" x14ac:dyDescent="0.25">
      <c r="A538" s="2"/>
      <c r="B538" s="2"/>
      <c r="C538" s="2"/>
      <c r="D538" s="2"/>
      <c r="E538" s="17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1"/>
      <c r="AE538" s="5"/>
      <c r="AF538" s="6"/>
      <c r="AG538" s="6"/>
      <c r="AH538" s="6"/>
      <c r="AI538" s="6"/>
      <c r="AJ538" s="2"/>
    </row>
    <row r="539" spans="1:36" ht="13.2" x14ac:dyDescent="0.25">
      <c r="A539" s="2"/>
      <c r="B539" s="2"/>
      <c r="C539" s="2"/>
      <c r="D539" s="2"/>
      <c r="E539" s="17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1"/>
      <c r="AE539" s="5"/>
      <c r="AF539" s="6"/>
      <c r="AG539" s="6"/>
      <c r="AH539" s="6"/>
      <c r="AI539" s="6"/>
      <c r="AJ539" s="2"/>
    </row>
    <row r="540" spans="1:36" ht="13.2" x14ac:dyDescent="0.25">
      <c r="A540" s="2"/>
      <c r="B540" s="2"/>
      <c r="C540" s="2"/>
      <c r="D540" s="2"/>
      <c r="E540" s="17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1"/>
      <c r="AE540" s="5"/>
      <c r="AF540" s="6"/>
      <c r="AG540" s="6"/>
      <c r="AH540" s="6"/>
      <c r="AI540" s="6"/>
      <c r="AJ540" s="2"/>
    </row>
    <row r="541" spans="1:36" ht="13.2" x14ac:dyDescent="0.25">
      <c r="A541" s="2"/>
      <c r="B541" s="2"/>
      <c r="C541" s="2"/>
      <c r="D541" s="2"/>
      <c r="E541" s="17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1"/>
      <c r="AE541" s="5"/>
      <c r="AF541" s="6"/>
      <c r="AG541" s="6"/>
      <c r="AH541" s="6"/>
      <c r="AI541" s="6"/>
      <c r="AJ541" s="2"/>
    </row>
    <row r="542" spans="1:36" ht="13.2" x14ac:dyDescent="0.25">
      <c r="A542" s="2"/>
      <c r="B542" s="2"/>
      <c r="C542" s="2"/>
      <c r="D542" s="2"/>
      <c r="E542" s="17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1"/>
      <c r="AE542" s="5"/>
      <c r="AF542" s="6"/>
      <c r="AG542" s="6"/>
      <c r="AH542" s="6"/>
      <c r="AI542" s="6"/>
      <c r="AJ542" s="2"/>
    </row>
    <row r="543" spans="1:36" ht="13.2" x14ac:dyDescent="0.25">
      <c r="A543" s="2"/>
      <c r="B543" s="2"/>
      <c r="C543" s="2"/>
      <c r="D543" s="2"/>
      <c r="E543" s="17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1"/>
      <c r="AE543" s="5"/>
      <c r="AF543" s="6"/>
      <c r="AG543" s="6"/>
      <c r="AH543" s="6"/>
      <c r="AI543" s="6"/>
      <c r="AJ543" s="2"/>
    </row>
    <row r="544" spans="1:36" ht="13.2" x14ac:dyDescent="0.25">
      <c r="A544" s="2"/>
      <c r="B544" s="2"/>
      <c r="C544" s="2"/>
      <c r="D544" s="2"/>
      <c r="E544" s="17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1"/>
      <c r="AE544" s="5"/>
      <c r="AF544" s="6"/>
      <c r="AG544" s="6"/>
      <c r="AH544" s="6"/>
      <c r="AI544" s="6"/>
      <c r="AJ544" s="2"/>
    </row>
    <row r="545" spans="1:36" ht="13.2" x14ac:dyDescent="0.25">
      <c r="A545" s="2"/>
      <c r="B545" s="2"/>
      <c r="C545" s="2"/>
      <c r="D545" s="2"/>
      <c r="E545" s="17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1"/>
      <c r="AE545" s="5"/>
      <c r="AF545" s="6"/>
      <c r="AG545" s="6"/>
      <c r="AH545" s="6"/>
      <c r="AI545" s="6"/>
      <c r="AJ545" s="2"/>
    </row>
    <row r="546" spans="1:36" ht="13.2" x14ac:dyDescent="0.25">
      <c r="A546" s="2"/>
      <c r="B546" s="2"/>
      <c r="C546" s="2"/>
      <c r="D546" s="2"/>
      <c r="E546" s="17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1"/>
      <c r="AE546" s="5"/>
      <c r="AF546" s="6"/>
      <c r="AG546" s="6"/>
      <c r="AH546" s="6"/>
      <c r="AI546" s="6"/>
      <c r="AJ546" s="2"/>
    </row>
    <row r="547" spans="1:36" ht="13.2" x14ac:dyDescent="0.25">
      <c r="A547" s="2"/>
      <c r="B547" s="2"/>
      <c r="C547" s="2"/>
      <c r="D547" s="2"/>
      <c r="E547" s="17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1"/>
      <c r="AE547" s="5"/>
      <c r="AF547" s="6"/>
      <c r="AG547" s="6"/>
      <c r="AH547" s="6"/>
      <c r="AI547" s="6"/>
      <c r="AJ547" s="2"/>
    </row>
    <row r="548" spans="1:36" ht="13.2" x14ac:dyDescent="0.25">
      <c r="A548" s="2"/>
      <c r="B548" s="2"/>
      <c r="C548" s="2"/>
      <c r="D548" s="2"/>
      <c r="E548" s="17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1"/>
      <c r="AE548" s="5"/>
      <c r="AF548" s="6"/>
      <c r="AG548" s="6"/>
      <c r="AH548" s="6"/>
      <c r="AI548" s="6"/>
      <c r="AJ548" s="2"/>
    </row>
    <row r="549" spans="1:36" ht="13.2" x14ac:dyDescent="0.25">
      <c r="A549" s="2"/>
      <c r="B549" s="2"/>
      <c r="C549" s="2"/>
      <c r="D549" s="2"/>
      <c r="E549" s="17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1"/>
      <c r="AE549" s="5"/>
      <c r="AF549" s="6"/>
      <c r="AG549" s="6"/>
      <c r="AH549" s="6"/>
      <c r="AI549" s="6"/>
      <c r="AJ549" s="2"/>
    </row>
    <row r="550" spans="1:36" ht="13.2" x14ac:dyDescent="0.25">
      <c r="A550" s="2"/>
      <c r="B550" s="2"/>
      <c r="C550" s="2"/>
      <c r="D550" s="2"/>
      <c r="E550" s="17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1"/>
      <c r="AE550" s="5"/>
      <c r="AF550" s="6"/>
      <c r="AG550" s="6"/>
      <c r="AH550" s="6"/>
      <c r="AI550" s="6"/>
      <c r="AJ550" s="2"/>
    </row>
    <row r="551" spans="1:36" ht="13.2" x14ac:dyDescent="0.25">
      <c r="A551" s="2"/>
      <c r="B551" s="2"/>
      <c r="C551" s="2"/>
      <c r="D551" s="2"/>
      <c r="E551" s="17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1"/>
      <c r="AE551" s="5"/>
      <c r="AF551" s="6"/>
      <c r="AG551" s="6"/>
      <c r="AH551" s="6"/>
      <c r="AI551" s="6"/>
      <c r="AJ551" s="2"/>
    </row>
    <row r="552" spans="1:36" ht="13.2" x14ac:dyDescent="0.25">
      <c r="A552" s="2"/>
      <c r="B552" s="2"/>
      <c r="C552" s="2"/>
      <c r="D552" s="2"/>
      <c r="E552" s="17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1"/>
      <c r="AE552" s="5"/>
      <c r="AF552" s="6"/>
      <c r="AG552" s="6"/>
      <c r="AH552" s="6"/>
      <c r="AI552" s="6"/>
      <c r="AJ552" s="2"/>
    </row>
    <row r="553" spans="1:36" ht="13.2" x14ac:dyDescent="0.25">
      <c r="A553" s="2"/>
      <c r="B553" s="2"/>
      <c r="C553" s="2"/>
      <c r="D553" s="2"/>
      <c r="E553" s="17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1"/>
      <c r="AE553" s="5"/>
      <c r="AF553" s="6"/>
      <c r="AG553" s="6"/>
      <c r="AH553" s="6"/>
      <c r="AI553" s="6"/>
      <c r="AJ553" s="2"/>
    </row>
    <row r="554" spans="1:36" ht="13.2" x14ac:dyDescent="0.25">
      <c r="A554" s="2"/>
      <c r="B554" s="2"/>
      <c r="C554" s="2"/>
      <c r="D554" s="2"/>
      <c r="E554" s="17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1"/>
      <c r="AE554" s="5"/>
      <c r="AF554" s="6"/>
      <c r="AG554" s="6"/>
      <c r="AH554" s="6"/>
      <c r="AI554" s="6"/>
      <c r="AJ554" s="2"/>
    </row>
    <row r="555" spans="1:36" ht="13.2" x14ac:dyDescent="0.25">
      <c r="A555" s="2"/>
      <c r="B555" s="2"/>
      <c r="C555" s="2"/>
      <c r="D555" s="2"/>
      <c r="E555" s="17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1"/>
      <c r="AE555" s="5"/>
      <c r="AF555" s="6"/>
      <c r="AG555" s="6"/>
      <c r="AH555" s="6"/>
      <c r="AI555" s="6"/>
      <c r="AJ555" s="2"/>
    </row>
    <row r="556" spans="1:36" ht="13.2" x14ac:dyDescent="0.25">
      <c r="A556" s="2"/>
      <c r="B556" s="2"/>
      <c r="C556" s="2"/>
      <c r="D556" s="2"/>
      <c r="E556" s="17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1"/>
      <c r="AE556" s="5"/>
      <c r="AF556" s="6"/>
      <c r="AG556" s="6"/>
      <c r="AH556" s="6"/>
      <c r="AI556" s="6"/>
      <c r="AJ556" s="2"/>
    </row>
    <row r="557" spans="1:36" ht="13.2" x14ac:dyDescent="0.25">
      <c r="A557" s="2"/>
      <c r="B557" s="2"/>
      <c r="C557" s="2"/>
      <c r="D557" s="2"/>
      <c r="E557" s="17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1"/>
      <c r="AE557" s="5"/>
      <c r="AF557" s="6"/>
      <c r="AG557" s="6"/>
      <c r="AH557" s="6"/>
      <c r="AI557" s="6"/>
      <c r="AJ557" s="2"/>
    </row>
    <row r="558" spans="1:36" ht="13.2" x14ac:dyDescent="0.25">
      <c r="A558" s="2"/>
      <c r="B558" s="2"/>
      <c r="C558" s="2"/>
      <c r="D558" s="2"/>
      <c r="E558" s="17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1"/>
      <c r="AE558" s="5"/>
      <c r="AF558" s="6"/>
      <c r="AG558" s="6"/>
      <c r="AH558" s="6"/>
      <c r="AI558" s="6"/>
      <c r="AJ558" s="2"/>
    </row>
    <row r="559" spans="1:36" ht="13.2" x14ac:dyDescent="0.25">
      <c r="A559" s="2"/>
      <c r="B559" s="2"/>
      <c r="C559" s="2"/>
      <c r="D559" s="2"/>
      <c r="E559" s="17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1"/>
      <c r="AE559" s="5"/>
      <c r="AF559" s="6"/>
      <c r="AG559" s="6"/>
      <c r="AH559" s="6"/>
      <c r="AI559" s="6"/>
      <c r="AJ559" s="2"/>
    </row>
    <row r="560" spans="1:36" ht="13.2" x14ac:dyDescent="0.25">
      <c r="A560" s="2"/>
      <c r="B560" s="2"/>
      <c r="C560" s="2"/>
      <c r="D560" s="2"/>
      <c r="E560" s="17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1"/>
      <c r="AE560" s="5"/>
      <c r="AF560" s="6"/>
      <c r="AG560" s="6"/>
      <c r="AH560" s="6"/>
      <c r="AI560" s="6"/>
      <c r="AJ560" s="2"/>
    </row>
    <row r="561" spans="1:36" ht="13.2" x14ac:dyDescent="0.25">
      <c r="A561" s="2"/>
      <c r="B561" s="2"/>
      <c r="C561" s="2"/>
      <c r="D561" s="2"/>
      <c r="E561" s="17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1"/>
      <c r="AE561" s="5"/>
      <c r="AF561" s="6"/>
      <c r="AG561" s="6"/>
      <c r="AH561" s="6"/>
      <c r="AI561" s="6"/>
      <c r="AJ561" s="2"/>
    </row>
    <row r="562" spans="1:36" ht="13.2" x14ac:dyDescent="0.25">
      <c r="A562" s="2"/>
      <c r="B562" s="2"/>
      <c r="C562" s="2"/>
      <c r="D562" s="2"/>
      <c r="E562" s="17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1"/>
      <c r="AE562" s="5"/>
      <c r="AF562" s="6"/>
      <c r="AG562" s="6"/>
      <c r="AH562" s="6"/>
      <c r="AI562" s="6"/>
      <c r="AJ562" s="2"/>
    </row>
    <row r="563" spans="1:36" ht="13.2" x14ac:dyDescent="0.25">
      <c r="A563" s="2"/>
      <c r="B563" s="2"/>
      <c r="C563" s="2"/>
      <c r="D563" s="2"/>
      <c r="E563" s="17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1"/>
      <c r="AE563" s="5"/>
      <c r="AF563" s="6"/>
      <c r="AG563" s="6"/>
      <c r="AH563" s="6"/>
      <c r="AI563" s="6"/>
      <c r="AJ563" s="2"/>
    </row>
    <row r="564" spans="1:36" ht="13.2" x14ac:dyDescent="0.25">
      <c r="A564" s="2"/>
      <c r="B564" s="2"/>
      <c r="C564" s="2"/>
      <c r="D564" s="2"/>
      <c r="E564" s="17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1"/>
      <c r="AE564" s="5"/>
      <c r="AF564" s="6"/>
      <c r="AG564" s="6"/>
      <c r="AH564" s="6"/>
      <c r="AI564" s="6"/>
      <c r="AJ564" s="2"/>
    </row>
    <row r="565" spans="1:36" ht="13.2" x14ac:dyDescent="0.25">
      <c r="A565" s="2"/>
      <c r="B565" s="2"/>
      <c r="C565" s="2"/>
      <c r="D565" s="2"/>
      <c r="E565" s="17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1"/>
      <c r="AE565" s="5"/>
      <c r="AF565" s="6"/>
      <c r="AG565" s="6"/>
      <c r="AH565" s="6"/>
      <c r="AI565" s="6"/>
      <c r="AJ565" s="2"/>
    </row>
    <row r="566" spans="1:36" ht="13.2" x14ac:dyDescent="0.25">
      <c r="A566" s="2"/>
      <c r="B566" s="2"/>
      <c r="C566" s="2"/>
      <c r="D566" s="2"/>
      <c r="E566" s="17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1"/>
      <c r="AE566" s="5"/>
      <c r="AF566" s="6"/>
      <c r="AG566" s="6"/>
      <c r="AH566" s="6"/>
      <c r="AI566" s="6"/>
      <c r="AJ566" s="2"/>
    </row>
    <row r="567" spans="1:36" ht="13.2" x14ac:dyDescent="0.25">
      <c r="A567" s="2"/>
      <c r="B567" s="2"/>
      <c r="C567" s="2"/>
      <c r="D567" s="2"/>
      <c r="E567" s="17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1"/>
      <c r="AE567" s="5"/>
      <c r="AF567" s="6"/>
      <c r="AG567" s="6"/>
      <c r="AH567" s="6"/>
      <c r="AI567" s="6"/>
      <c r="AJ567" s="2"/>
    </row>
    <row r="568" spans="1:36" ht="13.2" x14ac:dyDescent="0.25">
      <c r="A568" s="2"/>
      <c r="B568" s="2"/>
      <c r="C568" s="2"/>
      <c r="D568" s="2"/>
      <c r="E568" s="17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1"/>
      <c r="AE568" s="5"/>
      <c r="AF568" s="6"/>
      <c r="AG568" s="6"/>
      <c r="AH568" s="6"/>
      <c r="AI568" s="6"/>
      <c r="AJ568" s="2"/>
    </row>
    <row r="569" spans="1:36" ht="13.2" x14ac:dyDescent="0.25">
      <c r="A569" s="2"/>
      <c r="B569" s="2"/>
      <c r="C569" s="2"/>
      <c r="D569" s="2"/>
      <c r="E569" s="17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1"/>
      <c r="AE569" s="5"/>
      <c r="AF569" s="6"/>
      <c r="AG569" s="6"/>
      <c r="AH569" s="6"/>
      <c r="AI569" s="6"/>
      <c r="AJ569" s="2"/>
    </row>
    <row r="570" spans="1:36" ht="13.2" x14ac:dyDescent="0.25">
      <c r="A570" s="2"/>
      <c r="B570" s="2"/>
      <c r="C570" s="2"/>
      <c r="D570" s="2"/>
      <c r="E570" s="17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1"/>
      <c r="AE570" s="5"/>
      <c r="AF570" s="6"/>
      <c r="AG570" s="6"/>
      <c r="AH570" s="6"/>
      <c r="AI570" s="6"/>
      <c r="AJ570" s="2"/>
    </row>
    <row r="571" spans="1:36" ht="13.2" x14ac:dyDescent="0.25">
      <c r="A571" s="2"/>
      <c r="B571" s="2"/>
      <c r="C571" s="2"/>
      <c r="D571" s="2"/>
      <c r="E571" s="17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1"/>
      <c r="AE571" s="5"/>
      <c r="AF571" s="6"/>
      <c r="AG571" s="6"/>
      <c r="AH571" s="6"/>
      <c r="AI571" s="6"/>
      <c r="AJ571" s="2"/>
    </row>
    <row r="572" spans="1:36" ht="13.2" x14ac:dyDescent="0.25">
      <c r="A572" s="2"/>
      <c r="B572" s="2"/>
      <c r="C572" s="2"/>
      <c r="D572" s="2"/>
      <c r="E572" s="17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1"/>
      <c r="AE572" s="5"/>
      <c r="AF572" s="6"/>
      <c r="AG572" s="6"/>
      <c r="AH572" s="6"/>
      <c r="AI572" s="6"/>
      <c r="AJ572" s="2"/>
    </row>
    <row r="573" spans="1:36" ht="13.2" x14ac:dyDescent="0.25">
      <c r="A573" s="2"/>
      <c r="B573" s="2"/>
      <c r="C573" s="2"/>
      <c r="D573" s="2"/>
      <c r="E573" s="17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1"/>
      <c r="AE573" s="5"/>
      <c r="AF573" s="6"/>
      <c r="AG573" s="6"/>
      <c r="AH573" s="6"/>
      <c r="AI573" s="6"/>
      <c r="AJ573" s="2"/>
    </row>
    <row r="574" spans="1:36" ht="13.2" x14ac:dyDescent="0.25">
      <c r="A574" s="2"/>
      <c r="B574" s="2"/>
      <c r="C574" s="2"/>
      <c r="D574" s="2"/>
      <c r="E574" s="17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1"/>
      <c r="AE574" s="5"/>
      <c r="AF574" s="6"/>
      <c r="AG574" s="6"/>
      <c r="AH574" s="6"/>
      <c r="AI574" s="6"/>
      <c r="AJ574" s="2"/>
    </row>
    <row r="575" spans="1:36" ht="13.2" x14ac:dyDescent="0.25">
      <c r="A575" s="2"/>
      <c r="B575" s="2"/>
      <c r="C575" s="2"/>
      <c r="D575" s="2"/>
      <c r="E575" s="17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1"/>
      <c r="AE575" s="5"/>
      <c r="AF575" s="6"/>
      <c r="AG575" s="6"/>
      <c r="AH575" s="6"/>
      <c r="AI575" s="6"/>
      <c r="AJ575" s="2"/>
    </row>
    <row r="576" spans="1:36" ht="13.2" x14ac:dyDescent="0.25">
      <c r="A576" s="2"/>
      <c r="B576" s="2"/>
      <c r="C576" s="2"/>
      <c r="D576" s="2"/>
      <c r="E576" s="17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1"/>
      <c r="AE576" s="5"/>
      <c r="AF576" s="6"/>
      <c r="AG576" s="6"/>
      <c r="AH576" s="6"/>
      <c r="AI576" s="6"/>
      <c r="AJ576" s="2"/>
    </row>
    <row r="577" spans="1:36" ht="13.2" x14ac:dyDescent="0.25">
      <c r="A577" s="2"/>
      <c r="B577" s="2"/>
      <c r="C577" s="2"/>
      <c r="D577" s="2"/>
      <c r="E577" s="17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1"/>
      <c r="AE577" s="5"/>
      <c r="AF577" s="6"/>
      <c r="AG577" s="6"/>
      <c r="AH577" s="6"/>
      <c r="AI577" s="6"/>
      <c r="AJ577" s="2"/>
    </row>
    <row r="578" spans="1:36" ht="13.2" x14ac:dyDescent="0.25">
      <c r="A578" s="2"/>
      <c r="B578" s="2"/>
      <c r="C578" s="2"/>
      <c r="D578" s="2"/>
      <c r="E578" s="17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1"/>
      <c r="AE578" s="5"/>
      <c r="AF578" s="6"/>
      <c r="AG578" s="6"/>
      <c r="AH578" s="6"/>
      <c r="AI578" s="6"/>
      <c r="AJ578" s="2"/>
    </row>
    <row r="579" spans="1:36" ht="13.2" x14ac:dyDescent="0.25">
      <c r="A579" s="2"/>
      <c r="B579" s="2"/>
      <c r="C579" s="2"/>
      <c r="D579" s="2"/>
      <c r="E579" s="17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1"/>
      <c r="AE579" s="5"/>
      <c r="AF579" s="6"/>
      <c r="AG579" s="6"/>
      <c r="AH579" s="6"/>
      <c r="AI579" s="6"/>
      <c r="AJ579" s="2"/>
    </row>
    <row r="580" spans="1:36" ht="13.2" x14ac:dyDescent="0.25">
      <c r="A580" s="2"/>
      <c r="B580" s="2"/>
      <c r="C580" s="2"/>
      <c r="D580" s="2"/>
      <c r="E580" s="17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1"/>
      <c r="AE580" s="5"/>
      <c r="AF580" s="6"/>
      <c r="AG580" s="6"/>
      <c r="AH580" s="6"/>
      <c r="AI580" s="6"/>
      <c r="AJ580" s="2"/>
    </row>
    <row r="581" spans="1:36" ht="13.2" x14ac:dyDescent="0.25">
      <c r="A581" s="2"/>
      <c r="B581" s="2"/>
      <c r="C581" s="2"/>
      <c r="D581" s="2"/>
      <c r="E581" s="17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1"/>
      <c r="AE581" s="5"/>
      <c r="AF581" s="6"/>
      <c r="AG581" s="6"/>
      <c r="AH581" s="6"/>
      <c r="AI581" s="6"/>
      <c r="AJ581" s="2"/>
    </row>
    <row r="582" spans="1:36" ht="13.2" x14ac:dyDescent="0.25">
      <c r="A582" s="2"/>
      <c r="B582" s="2"/>
      <c r="C582" s="2"/>
      <c r="D582" s="2"/>
      <c r="E582" s="17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1"/>
      <c r="AE582" s="5"/>
      <c r="AF582" s="6"/>
      <c r="AG582" s="6"/>
      <c r="AH582" s="6"/>
      <c r="AI582" s="6"/>
      <c r="AJ582" s="2"/>
    </row>
    <row r="583" spans="1:36" ht="13.2" x14ac:dyDescent="0.25">
      <c r="A583" s="2"/>
      <c r="B583" s="2"/>
      <c r="C583" s="2"/>
      <c r="D583" s="2"/>
      <c r="E583" s="17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1"/>
      <c r="AE583" s="5"/>
      <c r="AF583" s="6"/>
      <c r="AG583" s="6"/>
      <c r="AH583" s="6"/>
      <c r="AI583" s="6"/>
      <c r="AJ583" s="2"/>
    </row>
    <row r="584" spans="1:36" ht="13.2" x14ac:dyDescent="0.25">
      <c r="A584" s="2"/>
      <c r="B584" s="2"/>
      <c r="C584" s="2"/>
      <c r="D584" s="2"/>
      <c r="E584" s="17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1"/>
      <c r="AE584" s="5"/>
      <c r="AF584" s="6"/>
      <c r="AG584" s="6"/>
      <c r="AH584" s="6"/>
      <c r="AI584" s="6"/>
      <c r="AJ584" s="2"/>
    </row>
    <row r="585" spans="1:36" ht="13.2" x14ac:dyDescent="0.25">
      <c r="A585" s="2"/>
      <c r="B585" s="2"/>
      <c r="C585" s="2"/>
      <c r="D585" s="2"/>
      <c r="E585" s="17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1"/>
      <c r="AE585" s="5"/>
      <c r="AF585" s="6"/>
      <c r="AG585" s="6"/>
      <c r="AH585" s="6"/>
      <c r="AI585" s="6"/>
      <c r="AJ585" s="2"/>
    </row>
    <row r="586" spans="1:36" ht="13.2" x14ac:dyDescent="0.25">
      <c r="A586" s="2"/>
      <c r="B586" s="2"/>
      <c r="C586" s="2"/>
      <c r="D586" s="2"/>
      <c r="E586" s="17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1"/>
      <c r="AE586" s="5"/>
      <c r="AF586" s="6"/>
      <c r="AG586" s="6"/>
      <c r="AH586" s="6"/>
      <c r="AI586" s="6"/>
      <c r="AJ586" s="2"/>
    </row>
    <row r="587" spans="1:36" ht="13.2" x14ac:dyDescent="0.25">
      <c r="A587" s="2"/>
      <c r="B587" s="2"/>
      <c r="C587" s="2"/>
      <c r="D587" s="2"/>
      <c r="E587" s="17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1"/>
      <c r="AE587" s="5"/>
      <c r="AF587" s="6"/>
      <c r="AG587" s="6"/>
      <c r="AH587" s="6"/>
      <c r="AI587" s="6"/>
      <c r="AJ587" s="2"/>
    </row>
    <row r="588" spans="1:36" ht="13.2" x14ac:dyDescent="0.25">
      <c r="A588" s="2"/>
      <c r="B588" s="2"/>
      <c r="C588" s="2"/>
      <c r="D588" s="2"/>
      <c r="E588" s="17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1"/>
      <c r="AE588" s="5"/>
      <c r="AF588" s="6"/>
      <c r="AG588" s="6"/>
      <c r="AH588" s="6"/>
      <c r="AI588" s="6"/>
      <c r="AJ588" s="2"/>
    </row>
    <row r="589" spans="1:36" ht="13.2" x14ac:dyDescent="0.25">
      <c r="A589" s="2"/>
      <c r="B589" s="2"/>
      <c r="C589" s="2"/>
      <c r="D589" s="2"/>
      <c r="E589" s="17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1"/>
      <c r="AE589" s="5"/>
      <c r="AF589" s="6"/>
      <c r="AG589" s="6"/>
      <c r="AH589" s="6"/>
      <c r="AI589" s="6"/>
      <c r="AJ589" s="2"/>
    </row>
    <row r="590" spans="1:36" ht="13.2" x14ac:dyDescent="0.25">
      <c r="A590" s="2"/>
      <c r="B590" s="2"/>
      <c r="C590" s="2"/>
      <c r="D590" s="2"/>
      <c r="E590" s="17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1"/>
      <c r="AE590" s="5"/>
      <c r="AF590" s="6"/>
      <c r="AG590" s="6"/>
      <c r="AH590" s="6"/>
      <c r="AI590" s="6"/>
      <c r="AJ590" s="2"/>
    </row>
    <row r="591" spans="1:36" ht="13.2" x14ac:dyDescent="0.25">
      <c r="A591" s="2"/>
      <c r="B591" s="2"/>
      <c r="C591" s="2"/>
      <c r="D591" s="2"/>
      <c r="E591" s="17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1"/>
      <c r="AE591" s="5"/>
      <c r="AF591" s="6"/>
      <c r="AG591" s="6"/>
      <c r="AH591" s="6"/>
      <c r="AI591" s="6"/>
      <c r="AJ591" s="2"/>
    </row>
    <row r="592" spans="1:36" ht="13.2" x14ac:dyDescent="0.25">
      <c r="A592" s="2"/>
      <c r="B592" s="2"/>
      <c r="C592" s="2"/>
      <c r="D592" s="2"/>
      <c r="E592" s="17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1"/>
      <c r="AE592" s="5"/>
      <c r="AF592" s="6"/>
      <c r="AG592" s="6"/>
      <c r="AH592" s="6"/>
      <c r="AI592" s="6"/>
      <c r="AJ592" s="2"/>
    </row>
    <row r="593" spans="1:36" ht="13.2" x14ac:dyDescent="0.25">
      <c r="A593" s="2"/>
      <c r="B593" s="2"/>
      <c r="C593" s="2"/>
      <c r="D593" s="2"/>
      <c r="E593" s="17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1"/>
      <c r="AE593" s="5"/>
      <c r="AF593" s="6"/>
      <c r="AG593" s="6"/>
      <c r="AH593" s="6"/>
      <c r="AI593" s="6"/>
      <c r="AJ593" s="2"/>
    </row>
    <row r="594" spans="1:36" ht="13.2" x14ac:dyDescent="0.25">
      <c r="A594" s="2"/>
      <c r="B594" s="2"/>
      <c r="C594" s="2"/>
      <c r="D594" s="2"/>
      <c r="E594" s="17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1"/>
      <c r="AE594" s="5"/>
      <c r="AF594" s="6"/>
      <c r="AG594" s="6"/>
      <c r="AH594" s="6"/>
      <c r="AI594" s="6"/>
      <c r="AJ594" s="2"/>
    </row>
    <row r="595" spans="1:36" ht="13.2" x14ac:dyDescent="0.25">
      <c r="A595" s="2"/>
      <c r="B595" s="2"/>
      <c r="C595" s="2"/>
      <c r="D595" s="2"/>
      <c r="E595" s="17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1"/>
      <c r="AE595" s="5"/>
      <c r="AF595" s="6"/>
      <c r="AG595" s="6"/>
      <c r="AH595" s="6"/>
      <c r="AI595" s="6"/>
      <c r="AJ595" s="2"/>
    </row>
    <row r="596" spans="1:36" ht="13.2" x14ac:dyDescent="0.25">
      <c r="A596" s="2"/>
      <c r="B596" s="2"/>
      <c r="C596" s="2"/>
      <c r="D596" s="2"/>
      <c r="E596" s="17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1"/>
      <c r="AE596" s="5"/>
      <c r="AF596" s="6"/>
      <c r="AG596" s="6"/>
      <c r="AH596" s="6"/>
      <c r="AI596" s="6"/>
      <c r="AJ596" s="2"/>
    </row>
    <row r="597" spans="1:36" ht="13.2" x14ac:dyDescent="0.25">
      <c r="A597" s="2"/>
      <c r="B597" s="2"/>
      <c r="C597" s="2"/>
      <c r="D597" s="2"/>
      <c r="E597" s="17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1"/>
      <c r="AE597" s="5"/>
      <c r="AF597" s="6"/>
      <c r="AG597" s="6"/>
      <c r="AH597" s="6"/>
      <c r="AI597" s="6"/>
      <c r="AJ597" s="2"/>
    </row>
    <row r="598" spans="1:36" ht="13.2" x14ac:dyDescent="0.25">
      <c r="A598" s="2"/>
      <c r="B598" s="2"/>
      <c r="C598" s="2"/>
      <c r="D598" s="2"/>
      <c r="E598" s="17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1"/>
      <c r="AE598" s="5"/>
      <c r="AF598" s="6"/>
      <c r="AG598" s="6"/>
      <c r="AH598" s="6"/>
      <c r="AI598" s="6"/>
      <c r="AJ598" s="2"/>
    </row>
    <row r="599" spans="1:36" ht="13.2" x14ac:dyDescent="0.25">
      <c r="A599" s="2"/>
      <c r="B599" s="2"/>
      <c r="C599" s="2"/>
      <c r="D599" s="2"/>
      <c r="E599" s="17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1"/>
      <c r="AE599" s="5"/>
      <c r="AF599" s="6"/>
      <c r="AG599" s="6"/>
      <c r="AH599" s="6"/>
      <c r="AI599" s="6"/>
      <c r="AJ599" s="2"/>
    </row>
    <row r="600" spans="1:36" ht="13.2" x14ac:dyDescent="0.25">
      <c r="A600" s="2"/>
      <c r="B600" s="2"/>
      <c r="C600" s="2"/>
      <c r="D600" s="2"/>
      <c r="E600" s="17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1"/>
      <c r="AE600" s="5"/>
      <c r="AF600" s="6"/>
      <c r="AG600" s="6"/>
      <c r="AH600" s="6"/>
      <c r="AI600" s="6"/>
      <c r="AJ600" s="2"/>
    </row>
    <row r="601" spans="1:36" ht="13.2" x14ac:dyDescent="0.25">
      <c r="A601" s="2"/>
      <c r="B601" s="2"/>
      <c r="C601" s="2"/>
      <c r="D601" s="2"/>
      <c r="E601" s="17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1"/>
      <c r="AE601" s="5"/>
      <c r="AF601" s="6"/>
      <c r="AG601" s="6"/>
      <c r="AH601" s="6"/>
      <c r="AI601" s="6"/>
      <c r="AJ601" s="2"/>
    </row>
    <row r="602" spans="1:36" ht="13.2" x14ac:dyDescent="0.25">
      <c r="A602" s="2"/>
      <c r="B602" s="2"/>
      <c r="C602" s="2"/>
      <c r="D602" s="2"/>
      <c r="E602" s="17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1"/>
      <c r="AE602" s="5"/>
      <c r="AF602" s="6"/>
      <c r="AG602" s="6"/>
      <c r="AH602" s="6"/>
      <c r="AI602" s="6"/>
      <c r="AJ602" s="2"/>
    </row>
    <row r="603" spans="1:36" ht="13.2" x14ac:dyDescent="0.25">
      <c r="A603" s="2"/>
      <c r="B603" s="2"/>
      <c r="C603" s="2"/>
      <c r="D603" s="2"/>
      <c r="E603" s="17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1"/>
      <c r="AE603" s="5"/>
      <c r="AF603" s="6"/>
      <c r="AG603" s="6"/>
      <c r="AH603" s="6"/>
      <c r="AI603" s="6"/>
      <c r="AJ603" s="2"/>
    </row>
    <row r="604" spans="1:36" ht="13.2" x14ac:dyDescent="0.25">
      <c r="A604" s="2"/>
      <c r="B604" s="2"/>
      <c r="C604" s="2"/>
      <c r="D604" s="2"/>
      <c r="E604" s="17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1"/>
      <c r="AE604" s="5"/>
      <c r="AF604" s="6"/>
      <c r="AG604" s="6"/>
      <c r="AH604" s="6"/>
      <c r="AI604" s="6"/>
      <c r="AJ604" s="2"/>
    </row>
    <row r="605" spans="1:36" ht="13.2" x14ac:dyDescent="0.25">
      <c r="A605" s="2"/>
      <c r="B605" s="2"/>
      <c r="C605" s="2"/>
      <c r="D605" s="2"/>
      <c r="E605" s="17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1"/>
      <c r="AE605" s="5"/>
      <c r="AF605" s="6"/>
      <c r="AG605" s="6"/>
      <c r="AH605" s="6"/>
      <c r="AI605" s="6"/>
      <c r="AJ605" s="2"/>
    </row>
    <row r="606" spans="1:36" ht="13.2" x14ac:dyDescent="0.25">
      <c r="A606" s="2"/>
      <c r="B606" s="2"/>
      <c r="C606" s="2"/>
      <c r="D606" s="2"/>
      <c r="E606" s="17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1"/>
      <c r="AE606" s="5"/>
      <c r="AF606" s="6"/>
      <c r="AG606" s="6"/>
      <c r="AH606" s="6"/>
      <c r="AI606" s="6"/>
      <c r="AJ606" s="2"/>
    </row>
    <row r="607" spans="1:36" ht="13.2" x14ac:dyDescent="0.25">
      <c r="A607" s="2"/>
      <c r="B607" s="2"/>
      <c r="C607" s="2"/>
      <c r="D607" s="2"/>
      <c r="E607" s="17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1"/>
      <c r="AE607" s="5"/>
      <c r="AF607" s="6"/>
      <c r="AG607" s="6"/>
      <c r="AH607" s="6"/>
      <c r="AI607" s="6"/>
      <c r="AJ607" s="2"/>
    </row>
    <row r="608" spans="1:36" ht="13.2" x14ac:dyDescent="0.25">
      <c r="A608" s="2"/>
      <c r="B608" s="2"/>
      <c r="C608" s="2"/>
      <c r="D608" s="2"/>
      <c r="E608" s="17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1"/>
      <c r="AE608" s="5"/>
      <c r="AF608" s="6"/>
      <c r="AG608" s="6"/>
      <c r="AH608" s="6"/>
      <c r="AI608" s="6"/>
      <c r="AJ608" s="2"/>
    </row>
    <row r="609" spans="1:36" ht="13.2" x14ac:dyDescent="0.25">
      <c r="A609" s="2"/>
      <c r="B609" s="2"/>
      <c r="C609" s="2"/>
      <c r="D609" s="2"/>
      <c r="E609" s="17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1"/>
      <c r="AE609" s="5"/>
      <c r="AF609" s="6"/>
      <c r="AG609" s="6"/>
      <c r="AH609" s="6"/>
      <c r="AI609" s="6"/>
      <c r="AJ609" s="2"/>
    </row>
    <row r="610" spans="1:36" ht="13.2" x14ac:dyDescent="0.25">
      <c r="A610" s="2"/>
      <c r="B610" s="2"/>
      <c r="C610" s="2"/>
      <c r="D610" s="2"/>
      <c r="E610" s="17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1"/>
      <c r="AE610" s="5"/>
      <c r="AF610" s="6"/>
      <c r="AG610" s="6"/>
      <c r="AH610" s="6"/>
      <c r="AI610" s="6"/>
      <c r="AJ610" s="2"/>
    </row>
    <row r="611" spans="1:36" ht="13.2" x14ac:dyDescent="0.25">
      <c r="A611" s="2"/>
      <c r="B611" s="2"/>
      <c r="C611" s="2"/>
      <c r="D611" s="2"/>
      <c r="E611" s="17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1"/>
      <c r="AE611" s="5"/>
      <c r="AF611" s="6"/>
      <c r="AG611" s="6"/>
      <c r="AH611" s="6"/>
      <c r="AI611" s="6"/>
      <c r="AJ611" s="2"/>
    </row>
    <row r="612" spans="1:36" ht="13.2" x14ac:dyDescent="0.25">
      <c r="A612" s="2"/>
      <c r="B612" s="2"/>
      <c r="C612" s="2"/>
      <c r="D612" s="2"/>
      <c r="E612" s="17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1"/>
      <c r="AE612" s="5"/>
      <c r="AF612" s="6"/>
      <c r="AG612" s="6"/>
      <c r="AH612" s="6"/>
      <c r="AI612" s="6"/>
      <c r="AJ612" s="2"/>
    </row>
    <row r="613" spans="1:36" ht="13.2" x14ac:dyDescent="0.25">
      <c r="A613" s="2"/>
      <c r="B613" s="2"/>
      <c r="C613" s="2"/>
      <c r="D613" s="2"/>
      <c r="E613" s="17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1"/>
      <c r="AE613" s="5"/>
      <c r="AF613" s="6"/>
      <c r="AG613" s="6"/>
      <c r="AH613" s="6"/>
      <c r="AI613" s="6"/>
      <c r="AJ613" s="2"/>
    </row>
    <row r="614" spans="1:36" ht="13.2" x14ac:dyDescent="0.25">
      <c r="A614" s="2"/>
      <c r="B614" s="2"/>
      <c r="C614" s="2"/>
      <c r="D614" s="2"/>
      <c r="E614" s="17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1"/>
      <c r="AE614" s="5"/>
      <c r="AF614" s="6"/>
      <c r="AG614" s="6"/>
      <c r="AH614" s="6"/>
      <c r="AI614" s="6"/>
      <c r="AJ614" s="2"/>
    </row>
    <row r="615" spans="1:36" ht="13.2" x14ac:dyDescent="0.25">
      <c r="A615" s="2"/>
      <c r="B615" s="2"/>
      <c r="C615" s="2"/>
      <c r="D615" s="2"/>
      <c r="E615" s="17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1"/>
      <c r="AE615" s="5"/>
      <c r="AF615" s="6"/>
      <c r="AG615" s="6"/>
      <c r="AH615" s="6"/>
      <c r="AI615" s="6"/>
      <c r="AJ615" s="2"/>
    </row>
    <row r="616" spans="1:36" ht="13.2" x14ac:dyDescent="0.25">
      <c r="A616" s="2"/>
      <c r="B616" s="2"/>
      <c r="C616" s="2"/>
      <c r="D616" s="2"/>
      <c r="E616" s="17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1"/>
      <c r="AE616" s="5"/>
      <c r="AF616" s="6"/>
      <c r="AG616" s="6"/>
      <c r="AH616" s="6"/>
      <c r="AI616" s="6"/>
      <c r="AJ616" s="2"/>
    </row>
    <row r="617" spans="1:36" ht="13.2" x14ac:dyDescent="0.25">
      <c r="A617" s="2"/>
      <c r="B617" s="2"/>
      <c r="C617" s="2"/>
      <c r="D617" s="2"/>
      <c r="E617" s="17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1"/>
      <c r="AE617" s="5"/>
      <c r="AF617" s="6"/>
      <c r="AG617" s="6"/>
      <c r="AH617" s="6"/>
      <c r="AI617" s="6"/>
      <c r="AJ617" s="2"/>
    </row>
    <row r="618" spans="1:36" ht="13.2" x14ac:dyDescent="0.25">
      <c r="A618" s="2"/>
      <c r="B618" s="2"/>
      <c r="C618" s="2"/>
      <c r="D618" s="2"/>
      <c r="E618" s="17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1"/>
      <c r="AE618" s="5"/>
      <c r="AF618" s="6"/>
      <c r="AG618" s="6"/>
      <c r="AH618" s="6"/>
      <c r="AI618" s="6"/>
      <c r="AJ618" s="2"/>
    </row>
    <row r="619" spans="1:36" ht="13.2" x14ac:dyDescent="0.25">
      <c r="A619" s="2"/>
      <c r="B619" s="2"/>
      <c r="C619" s="2"/>
      <c r="D619" s="2"/>
      <c r="E619" s="17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1"/>
      <c r="AE619" s="5"/>
      <c r="AF619" s="6"/>
      <c r="AG619" s="6"/>
      <c r="AH619" s="6"/>
      <c r="AI619" s="6"/>
      <c r="AJ619" s="2"/>
    </row>
    <row r="620" spans="1:36" ht="13.2" x14ac:dyDescent="0.25">
      <c r="A620" s="2"/>
      <c r="B620" s="2"/>
      <c r="C620" s="2"/>
      <c r="D620" s="2"/>
      <c r="E620" s="17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1"/>
      <c r="AE620" s="5"/>
      <c r="AF620" s="6"/>
      <c r="AG620" s="6"/>
      <c r="AH620" s="6"/>
      <c r="AI620" s="6"/>
      <c r="AJ620" s="2"/>
    </row>
    <row r="621" spans="1:36" ht="13.2" x14ac:dyDescent="0.25">
      <c r="A621" s="2"/>
      <c r="B621" s="2"/>
      <c r="C621" s="2"/>
      <c r="D621" s="2"/>
      <c r="E621" s="17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1"/>
      <c r="AE621" s="5"/>
      <c r="AF621" s="6"/>
      <c r="AG621" s="6"/>
      <c r="AH621" s="6"/>
      <c r="AI621" s="6"/>
      <c r="AJ621" s="2"/>
    </row>
    <row r="622" spans="1:36" ht="13.2" x14ac:dyDescent="0.25">
      <c r="A622" s="2"/>
      <c r="B622" s="2"/>
      <c r="C622" s="2"/>
      <c r="D622" s="2"/>
      <c r="E622" s="17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1"/>
      <c r="AE622" s="5"/>
      <c r="AF622" s="6"/>
      <c r="AG622" s="6"/>
      <c r="AH622" s="6"/>
      <c r="AI622" s="6"/>
      <c r="AJ622" s="2"/>
    </row>
    <row r="623" spans="1:36" ht="13.2" x14ac:dyDescent="0.25">
      <c r="A623" s="2"/>
      <c r="B623" s="2"/>
      <c r="C623" s="2"/>
      <c r="D623" s="2"/>
      <c r="E623" s="17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1"/>
      <c r="AE623" s="5"/>
      <c r="AF623" s="6"/>
      <c r="AG623" s="6"/>
      <c r="AH623" s="6"/>
      <c r="AI623" s="6"/>
      <c r="AJ623" s="2"/>
    </row>
    <row r="624" spans="1:36" ht="13.2" x14ac:dyDescent="0.25">
      <c r="A624" s="2"/>
      <c r="B624" s="2"/>
      <c r="C624" s="2"/>
      <c r="D624" s="2"/>
      <c r="E624" s="17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1"/>
      <c r="AE624" s="5"/>
      <c r="AF624" s="6"/>
      <c r="AG624" s="6"/>
      <c r="AH624" s="6"/>
      <c r="AI624" s="6"/>
      <c r="AJ624" s="2"/>
    </row>
    <row r="625" spans="1:36" ht="13.2" x14ac:dyDescent="0.25">
      <c r="A625" s="2"/>
      <c r="B625" s="2"/>
      <c r="C625" s="2"/>
      <c r="D625" s="2"/>
      <c r="E625" s="17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1"/>
      <c r="AE625" s="5"/>
      <c r="AF625" s="6"/>
      <c r="AG625" s="6"/>
      <c r="AH625" s="6"/>
      <c r="AI625" s="6"/>
      <c r="AJ625" s="2"/>
    </row>
    <row r="626" spans="1:36" ht="13.2" x14ac:dyDescent="0.25">
      <c r="A626" s="2"/>
      <c r="B626" s="2"/>
      <c r="C626" s="2"/>
      <c r="D626" s="2"/>
      <c r="E626" s="17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1"/>
      <c r="AE626" s="5"/>
      <c r="AF626" s="6"/>
      <c r="AG626" s="6"/>
      <c r="AH626" s="6"/>
      <c r="AI626" s="6"/>
      <c r="AJ626" s="2"/>
    </row>
    <row r="627" spans="1:36" ht="13.2" x14ac:dyDescent="0.25">
      <c r="A627" s="2"/>
      <c r="B627" s="2"/>
      <c r="C627" s="2"/>
      <c r="D627" s="2"/>
      <c r="E627" s="17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1"/>
      <c r="AE627" s="5"/>
      <c r="AF627" s="6"/>
      <c r="AG627" s="6"/>
      <c r="AH627" s="6"/>
      <c r="AI627" s="6"/>
      <c r="AJ627" s="2"/>
    </row>
    <row r="628" spans="1:36" ht="13.2" x14ac:dyDescent="0.25">
      <c r="A628" s="2"/>
      <c r="B628" s="2"/>
      <c r="C628" s="2"/>
      <c r="D628" s="2"/>
      <c r="E628" s="17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1"/>
      <c r="AE628" s="5"/>
      <c r="AF628" s="6"/>
      <c r="AG628" s="6"/>
      <c r="AH628" s="6"/>
      <c r="AI628" s="6"/>
      <c r="AJ628" s="2"/>
    </row>
    <row r="629" spans="1:36" ht="13.2" x14ac:dyDescent="0.25">
      <c r="A629" s="2"/>
      <c r="B629" s="2"/>
      <c r="C629" s="2"/>
      <c r="D629" s="2"/>
      <c r="E629" s="17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1"/>
      <c r="AE629" s="5"/>
      <c r="AF629" s="6"/>
      <c r="AG629" s="6"/>
      <c r="AH629" s="6"/>
      <c r="AI629" s="6"/>
      <c r="AJ629" s="2"/>
    </row>
    <row r="630" spans="1:36" ht="13.2" x14ac:dyDescent="0.25">
      <c r="A630" s="2"/>
      <c r="B630" s="2"/>
      <c r="C630" s="2"/>
      <c r="D630" s="2"/>
      <c r="E630" s="17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1"/>
      <c r="AE630" s="5"/>
      <c r="AF630" s="6"/>
      <c r="AG630" s="6"/>
      <c r="AH630" s="6"/>
      <c r="AI630" s="6"/>
      <c r="AJ630" s="2"/>
    </row>
    <row r="631" spans="1:36" ht="13.2" x14ac:dyDescent="0.25">
      <c r="A631" s="2"/>
      <c r="B631" s="2"/>
      <c r="C631" s="2"/>
      <c r="D631" s="2"/>
      <c r="E631" s="17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1"/>
      <c r="AE631" s="5"/>
      <c r="AF631" s="6"/>
      <c r="AG631" s="6"/>
      <c r="AH631" s="6"/>
      <c r="AI631" s="6"/>
      <c r="AJ631" s="2"/>
    </row>
    <row r="632" spans="1:36" ht="13.2" x14ac:dyDescent="0.25">
      <c r="A632" s="2"/>
      <c r="B632" s="2"/>
      <c r="C632" s="2"/>
      <c r="D632" s="2"/>
      <c r="E632" s="17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1"/>
      <c r="AE632" s="5"/>
      <c r="AF632" s="6"/>
      <c r="AG632" s="6"/>
      <c r="AH632" s="6"/>
      <c r="AI632" s="6"/>
      <c r="AJ632" s="2"/>
    </row>
    <row r="633" spans="1:36" ht="13.2" x14ac:dyDescent="0.25">
      <c r="A633" s="2"/>
      <c r="B633" s="2"/>
      <c r="C633" s="2"/>
      <c r="D633" s="2"/>
      <c r="E633" s="17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1"/>
      <c r="AE633" s="5"/>
      <c r="AF633" s="6"/>
      <c r="AG633" s="6"/>
      <c r="AH633" s="6"/>
      <c r="AI633" s="6"/>
      <c r="AJ633" s="2"/>
    </row>
    <row r="634" spans="1:36" ht="13.2" x14ac:dyDescent="0.25">
      <c r="A634" s="2"/>
      <c r="B634" s="2"/>
      <c r="C634" s="2"/>
      <c r="D634" s="2"/>
      <c r="E634" s="17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1"/>
      <c r="AE634" s="5"/>
      <c r="AF634" s="6"/>
      <c r="AG634" s="6"/>
      <c r="AH634" s="6"/>
      <c r="AI634" s="6"/>
      <c r="AJ634" s="2"/>
    </row>
    <row r="635" spans="1:36" ht="13.2" x14ac:dyDescent="0.25">
      <c r="A635" s="2"/>
      <c r="B635" s="2"/>
      <c r="C635" s="2"/>
      <c r="D635" s="2"/>
      <c r="E635" s="17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1"/>
      <c r="AE635" s="5"/>
      <c r="AF635" s="6"/>
      <c r="AG635" s="6"/>
      <c r="AH635" s="6"/>
      <c r="AI635" s="6"/>
      <c r="AJ635" s="2"/>
    </row>
    <row r="636" spans="1:36" ht="13.2" x14ac:dyDescent="0.25">
      <c r="A636" s="2"/>
      <c r="B636" s="2"/>
      <c r="C636" s="2"/>
      <c r="D636" s="2"/>
      <c r="E636" s="17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1"/>
      <c r="AE636" s="5"/>
      <c r="AF636" s="6"/>
      <c r="AG636" s="6"/>
      <c r="AH636" s="6"/>
      <c r="AI636" s="6"/>
      <c r="AJ636" s="2"/>
    </row>
    <row r="637" spans="1:36" ht="13.2" x14ac:dyDescent="0.25">
      <c r="A637" s="2"/>
      <c r="B637" s="2"/>
      <c r="C637" s="2"/>
      <c r="D637" s="2"/>
      <c r="E637" s="17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1"/>
      <c r="AE637" s="5"/>
      <c r="AF637" s="6"/>
      <c r="AG637" s="6"/>
      <c r="AH637" s="6"/>
      <c r="AI637" s="6"/>
      <c r="AJ637" s="2"/>
    </row>
    <row r="638" spans="1:36" ht="13.2" x14ac:dyDescent="0.25">
      <c r="A638" s="2"/>
      <c r="B638" s="2"/>
      <c r="C638" s="2"/>
      <c r="D638" s="2"/>
      <c r="E638" s="17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1"/>
      <c r="AE638" s="5"/>
      <c r="AF638" s="6"/>
      <c r="AG638" s="6"/>
      <c r="AH638" s="6"/>
      <c r="AI638" s="6"/>
      <c r="AJ638" s="2"/>
    </row>
    <row r="639" spans="1:36" ht="13.2" x14ac:dyDescent="0.25">
      <c r="A639" s="2"/>
      <c r="B639" s="2"/>
      <c r="C639" s="2"/>
      <c r="D639" s="2"/>
      <c r="E639" s="17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1"/>
      <c r="AE639" s="5"/>
      <c r="AF639" s="6"/>
      <c r="AG639" s="6"/>
      <c r="AH639" s="6"/>
      <c r="AI639" s="6"/>
      <c r="AJ639" s="2"/>
    </row>
    <row r="640" spans="1:36" ht="13.2" x14ac:dyDescent="0.25">
      <c r="A640" s="2"/>
      <c r="B640" s="2"/>
      <c r="C640" s="2"/>
      <c r="D640" s="2"/>
      <c r="E640" s="17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1"/>
      <c r="AE640" s="5"/>
      <c r="AF640" s="6"/>
      <c r="AG640" s="6"/>
      <c r="AH640" s="6"/>
      <c r="AI640" s="6"/>
      <c r="AJ640" s="2"/>
    </row>
    <row r="641" spans="1:36" ht="13.2" x14ac:dyDescent="0.25">
      <c r="A641" s="2"/>
      <c r="B641" s="2"/>
      <c r="C641" s="2"/>
      <c r="D641" s="2"/>
      <c r="E641" s="17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1"/>
      <c r="AE641" s="5"/>
      <c r="AF641" s="6"/>
      <c r="AG641" s="6"/>
      <c r="AH641" s="6"/>
      <c r="AI641" s="6"/>
      <c r="AJ641" s="2"/>
    </row>
    <row r="642" spans="1:36" ht="13.2" x14ac:dyDescent="0.25">
      <c r="A642" s="2"/>
      <c r="B642" s="2"/>
      <c r="C642" s="2"/>
      <c r="D642" s="2"/>
      <c r="E642" s="17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1"/>
      <c r="AE642" s="5"/>
      <c r="AF642" s="6"/>
      <c r="AG642" s="6"/>
      <c r="AH642" s="6"/>
      <c r="AI642" s="6"/>
      <c r="AJ642" s="2"/>
    </row>
    <row r="643" spans="1:36" ht="13.2" x14ac:dyDescent="0.25">
      <c r="A643" s="2"/>
      <c r="B643" s="2"/>
      <c r="C643" s="2"/>
      <c r="D643" s="2"/>
      <c r="E643" s="17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1"/>
      <c r="AE643" s="5"/>
      <c r="AF643" s="6"/>
      <c r="AG643" s="6"/>
      <c r="AH643" s="6"/>
      <c r="AI643" s="6"/>
      <c r="AJ643" s="2"/>
    </row>
    <row r="644" spans="1:36" ht="13.2" x14ac:dyDescent="0.25">
      <c r="A644" s="2"/>
      <c r="B644" s="2"/>
      <c r="C644" s="2"/>
      <c r="D644" s="2"/>
      <c r="E644" s="17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1"/>
      <c r="AE644" s="5"/>
      <c r="AF644" s="6"/>
      <c r="AG644" s="6"/>
      <c r="AH644" s="6"/>
      <c r="AI644" s="6"/>
      <c r="AJ644" s="2"/>
    </row>
    <row r="645" spans="1:36" ht="13.2" x14ac:dyDescent="0.25">
      <c r="A645" s="2"/>
      <c r="B645" s="2"/>
      <c r="C645" s="2"/>
      <c r="D645" s="2"/>
      <c r="E645" s="17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1"/>
      <c r="AE645" s="5"/>
      <c r="AF645" s="6"/>
      <c r="AG645" s="6"/>
      <c r="AH645" s="6"/>
      <c r="AI645" s="6"/>
      <c r="AJ645" s="2"/>
    </row>
    <row r="646" spans="1:36" ht="13.2" x14ac:dyDescent="0.25">
      <c r="A646" s="2"/>
      <c r="B646" s="2"/>
      <c r="C646" s="2"/>
      <c r="D646" s="2"/>
      <c r="E646" s="17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1"/>
      <c r="AE646" s="5"/>
      <c r="AF646" s="6"/>
      <c r="AG646" s="6"/>
      <c r="AH646" s="6"/>
      <c r="AI646" s="6"/>
      <c r="AJ646" s="2"/>
    </row>
    <row r="647" spans="1:36" ht="13.2" x14ac:dyDescent="0.25">
      <c r="A647" s="2"/>
      <c r="B647" s="2"/>
      <c r="C647" s="2"/>
      <c r="D647" s="2"/>
      <c r="E647" s="17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1"/>
      <c r="AE647" s="5"/>
      <c r="AF647" s="6"/>
      <c r="AG647" s="6"/>
      <c r="AH647" s="6"/>
      <c r="AI647" s="6"/>
      <c r="AJ647" s="2"/>
    </row>
    <row r="648" spans="1:36" ht="13.2" x14ac:dyDescent="0.25">
      <c r="A648" s="2"/>
      <c r="B648" s="2"/>
      <c r="C648" s="2"/>
      <c r="D648" s="2"/>
      <c r="E648" s="17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1"/>
      <c r="AE648" s="5"/>
      <c r="AF648" s="6"/>
      <c r="AG648" s="6"/>
      <c r="AH648" s="6"/>
      <c r="AI648" s="6"/>
      <c r="AJ648" s="2"/>
    </row>
    <row r="649" spans="1:36" ht="13.2" x14ac:dyDescent="0.25">
      <c r="A649" s="2"/>
      <c r="B649" s="2"/>
      <c r="C649" s="2"/>
      <c r="D649" s="2"/>
      <c r="E649" s="17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1"/>
      <c r="AE649" s="5"/>
      <c r="AF649" s="6"/>
      <c r="AG649" s="6"/>
      <c r="AH649" s="6"/>
      <c r="AI649" s="6"/>
      <c r="AJ649" s="2"/>
    </row>
    <row r="650" spans="1:36" ht="13.2" x14ac:dyDescent="0.25">
      <c r="A650" s="2"/>
      <c r="B650" s="2"/>
      <c r="C650" s="2"/>
      <c r="D650" s="2"/>
      <c r="E650" s="17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1"/>
      <c r="AE650" s="5"/>
      <c r="AF650" s="6"/>
      <c r="AG650" s="6"/>
      <c r="AH650" s="6"/>
      <c r="AI650" s="6"/>
      <c r="AJ650" s="2"/>
    </row>
    <row r="651" spans="1:36" ht="13.2" x14ac:dyDescent="0.25">
      <c r="A651" s="2"/>
      <c r="B651" s="2"/>
      <c r="C651" s="2"/>
      <c r="D651" s="2"/>
      <c r="E651" s="17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1"/>
      <c r="AE651" s="5"/>
      <c r="AF651" s="6"/>
      <c r="AG651" s="6"/>
      <c r="AH651" s="6"/>
      <c r="AI651" s="6"/>
      <c r="AJ651" s="2"/>
    </row>
    <row r="652" spans="1:36" ht="13.2" x14ac:dyDescent="0.25">
      <c r="A652" s="2"/>
      <c r="B652" s="2"/>
      <c r="C652" s="2"/>
      <c r="D652" s="2"/>
      <c r="E652" s="17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1"/>
      <c r="AE652" s="5"/>
      <c r="AF652" s="6"/>
      <c r="AG652" s="6"/>
      <c r="AH652" s="6"/>
      <c r="AI652" s="6"/>
      <c r="AJ652" s="2"/>
    </row>
    <row r="653" spans="1:36" ht="13.2" x14ac:dyDescent="0.25">
      <c r="A653" s="2"/>
      <c r="B653" s="2"/>
      <c r="C653" s="2"/>
      <c r="D653" s="2"/>
      <c r="E653" s="17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1"/>
      <c r="AE653" s="5"/>
      <c r="AF653" s="6"/>
      <c r="AG653" s="6"/>
      <c r="AH653" s="6"/>
      <c r="AI653" s="6"/>
      <c r="AJ653" s="2"/>
    </row>
    <row r="654" spans="1:36" ht="13.2" x14ac:dyDescent="0.25">
      <c r="A654" s="2"/>
      <c r="B654" s="2"/>
      <c r="C654" s="2"/>
      <c r="D654" s="2"/>
      <c r="E654" s="17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1"/>
      <c r="AE654" s="5"/>
      <c r="AF654" s="6"/>
      <c r="AG654" s="6"/>
      <c r="AH654" s="6"/>
      <c r="AI654" s="6"/>
      <c r="AJ654" s="2"/>
    </row>
    <row r="655" spans="1:36" ht="13.2" x14ac:dyDescent="0.25">
      <c r="A655" s="2"/>
      <c r="B655" s="2"/>
      <c r="C655" s="2"/>
      <c r="D655" s="2"/>
      <c r="E655" s="17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1"/>
      <c r="AE655" s="5"/>
      <c r="AF655" s="6"/>
      <c r="AG655" s="6"/>
      <c r="AH655" s="6"/>
      <c r="AI655" s="6"/>
      <c r="AJ655" s="2"/>
    </row>
    <row r="656" spans="1:36" ht="13.2" x14ac:dyDescent="0.25">
      <c r="A656" s="2"/>
      <c r="B656" s="2"/>
      <c r="C656" s="2"/>
      <c r="D656" s="2"/>
      <c r="E656" s="17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1"/>
      <c r="AE656" s="5"/>
      <c r="AF656" s="6"/>
      <c r="AG656" s="6"/>
      <c r="AH656" s="6"/>
      <c r="AI656" s="6"/>
      <c r="AJ656" s="2"/>
    </row>
    <row r="657" spans="1:36" ht="13.2" x14ac:dyDescent="0.25">
      <c r="A657" s="2"/>
      <c r="B657" s="2"/>
      <c r="C657" s="2"/>
      <c r="D657" s="2"/>
      <c r="E657" s="17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1"/>
      <c r="AE657" s="5"/>
      <c r="AF657" s="6"/>
      <c r="AG657" s="6"/>
      <c r="AH657" s="6"/>
      <c r="AI657" s="6"/>
      <c r="AJ657" s="2"/>
    </row>
    <row r="658" spans="1:36" ht="13.2" x14ac:dyDescent="0.25">
      <c r="A658" s="2"/>
      <c r="B658" s="2"/>
      <c r="C658" s="2"/>
      <c r="D658" s="2"/>
      <c r="E658" s="17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1"/>
      <c r="AE658" s="5"/>
      <c r="AF658" s="6"/>
      <c r="AG658" s="6"/>
      <c r="AH658" s="6"/>
      <c r="AI658" s="6"/>
      <c r="AJ658" s="2"/>
    </row>
    <row r="659" spans="1:36" ht="13.2" x14ac:dyDescent="0.25">
      <c r="A659" s="2"/>
      <c r="B659" s="2"/>
      <c r="C659" s="2"/>
      <c r="D659" s="2"/>
      <c r="E659" s="17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1"/>
      <c r="AE659" s="5"/>
      <c r="AF659" s="6"/>
      <c r="AG659" s="6"/>
      <c r="AH659" s="6"/>
      <c r="AI659" s="6"/>
      <c r="AJ659" s="2"/>
    </row>
    <row r="660" spans="1:36" ht="13.2" x14ac:dyDescent="0.25">
      <c r="A660" s="2"/>
      <c r="B660" s="2"/>
      <c r="C660" s="2"/>
      <c r="D660" s="2"/>
      <c r="E660" s="17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1"/>
      <c r="AE660" s="5"/>
      <c r="AF660" s="6"/>
      <c r="AG660" s="6"/>
      <c r="AH660" s="6"/>
      <c r="AI660" s="6"/>
      <c r="AJ660" s="2"/>
    </row>
    <row r="661" spans="1:36" ht="13.2" x14ac:dyDescent="0.25">
      <c r="A661" s="2"/>
      <c r="B661" s="2"/>
      <c r="C661" s="2"/>
      <c r="D661" s="2"/>
      <c r="E661" s="17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1"/>
      <c r="AE661" s="5"/>
      <c r="AF661" s="6"/>
      <c r="AG661" s="6"/>
      <c r="AH661" s="6"/>
      <c r="AI661" s="6"/>
      <c r="AJ661" s="2"/>
    </row>
    <row r="662" spans="1:36" ht="13.2" x14ac:dyDescent="0.25">
      <c r="A662" s="2"/>
      <c r="B662" s="2"/>
      <c r="C662" s="2"/>
      <c r="D662" s="2"/>
      <c r="E662" s="17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1"/>
      <c r="AE662" s="5"/>
      <c r="AF662" s="6"/>
      <c r="AG662" s="6"/>
      <c r="AH662" s="6"/>
      <c r="AI662" s="6"/>
      <c r="AJ662" s="2"/>
    </row>
    <row r="663" spans="1:36" ht="13.2" x14ac:dyDescent="0.25">
      <c r="A663" s="2"/>
      <c r="B663" s="2"/>
      <c r="C663" s="2"/>
      <c r="D663" s="2"/>
      <c r="E663" s="17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1"/>
      <c r="AE663" s="5"/>
      <c r="AF663" s="6"/>
      <c r="AG663" s="6"/>
      <c r="AH663" s="6"/>
      <c r="AI663" s="6"/>
      <c r="AJ663" s="2"/>
    </row>
    <row r="664" spans="1:36" ht="13.2" x14ac:dyDescent="0.25">
      <c r="A664" s="2"/>
      <c r="B664" s="2"/>
      <c r="C664" s="2"/>
      <c r="D664" s="2"/>
      <c r="E664" s="17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1"/>
      <c r="AE664" s="5"/>
      <c r="AF664" s="6"/>
      <c r="AG664" s="6"/>
      <c r="AH664" s="6"/>
      <c r="AI664" s="6"/>
      <c r="AJ664" s="2"/>
    </row>
    <row r="665" spans="1:36" ht="13.2" x14ac:dyDescent="0.25">
      <c r="A665" s="2"/>
      <c r="B665" s="2"/>
      <c r="C665" s="2"/>
      <c r="D665" s="2"/>
      <c r="E665" s="17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1"/>
      <c r="AE665" s="5"/>
      <c r="AF665" s="6"/>
      <c r="AG665" s="6"/>
      <c r="AH665" s="6"/>
      <c r="AI665" s="6"/>
      <c r="AJ665" s="2"/>
    </row>
    <row r="666" spans="1:36" ht="13.2" x14ac:dyDescent="0.25">
      <c r="A666" s="2"/>
      <c r="B666" s="2"/>
      <c r="C666" s="2"/>
      <c r="D666" s="2"/>
      <c r="E666" s="17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1"/>
      <c r="AE666" s="5"/>
      <c r="AF666" s="6"/>
      <c r="AG666" s="6"/>
      <c r="AH666" s="6"/>
      <c r="AI666" s="6"/>
      <c r="AJ666" s="2"/>
    </row>
    <row r="667" spans="1:36" ht="13.2" x14ac:dyDescent="0.25">
      <c r="A667" s="2"/>
      <c r="B667" s="2"/>
      <c r="C667" s="2"/>
      <c r="D667" s="2"/>
      <c r="E667" s="17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1"/>
      <c r="AE667" s="5"/>
      <c r="AF667" s="6"/>
      <c r="AG667" s="6"/>
      <c r="AH667" s="6"/>
      <c r="AI667" s="6"/>
      <c r="AJ667" s="2"/>
    </row>
    <row r="668" spans="1:36" ht="13.2" x14ac:dyDescent="0.25">
      <c r="A668" s="2"/>
      <c r="B668" s="2"/>
      <c r="C668" s="2"/>
      <c r="D668" s="2"/>
      <c r="E668" s="17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1"/>
      <c r="AE668" s="5"/>
      <c r="AF668" s="6"/>
      <c r="AG668" s="6"/>
      <c r="AH668" s="6"/>
      <c r="AI668" s="6"/>
      <c r="AJ668" s="2"/>
    </row>
    <row r="669" spans="1:36" ht="13.2" x14ac:dyDescent="0.25">
      <c r="A669" s="2"/>
      <c r="B669" s="2"/>
      <c r="C669" s="2"/>
      <c r="D669" s="2"/>
      <c r="E669" s="17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1"/>
      <c r="AE669" s="5"/>
      <c r="AF669" s="6"/>
      <c r="AG669" s="6"/>
      <c r="AH669" s="6"/>
      <c r="AI669" s="6"/>
      <c r="AJ669" s="2"/>
    </row>
    <row r="670" spans="1:36" ht="13.2" x14ac:dyDescent="0.25">
      <c r="A670" s="2"/>
      <c r="B670" s="2"/>
      <c r="C670" s="2"/>
      <c r="D670" s="2"/>
      <c r="E670" s="17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1"/>
      <c r="AE670" s="5"/>
      <c r="AF670" s="6"/>
      <c r="AG670" s="6"/>
      <c r="AH670" s="6"/>
      <c r="AI670" s="6"/>
      <c r="AJ670" s="2"/>
    </row>
    <row r="671" spans="1:36" ht="13.2" x14ac:dyDescent="0.25">
      <c r="A671" s="2"/>
      <c r="B671" s="2"/>
      <c r="C671" s="2"/>
      <c r="D671" s="2"/>
      <c r="E671" s="17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1"/>
      <c r="AE671" s="5"/>
      <c r="AF671" s="6"/>
      <c r="AG671" s="6"/>
      <c r="AH671" s="6"/>
      <c r="AI671" s="6"/>
      <c r="AJ671" s="2"/>
    </row>
    <row r="672" spans="1:36" ht="13.2" x14ac:dyDescent="0.25">
      <c r="A672" s="2"/>
      <c r="B672" s="2"/>
      <c r="C672" s="2"/>
      <c r="D672" s="2"/>
      <c r="E672" s="17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1"/>
      <c r="AE672" s="5"/>
      <c r="AF672" s="6"/>
      <c r="AG672" s="6"/>
      <c r="AH672" s="6"/>
      <c r="AI672" s="6"/>
      <c r="AJ672" s="2"/>
    </row>
    <row r="673" spans="1:36" ht="13.2" x14ac:dyDescent="0.25">
      <c r="A673" s="2"/>
      <c r="B673" s="2"/>
      <c r="C673" s="2"/>
      <c r="D673" s="2"/>
      <c r="E673" s="17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1"/>
      <c r="AE673" s="5"/>
      <c r="AF673" s="6"/>
      <c r="AG673" s="6"/>
      <c r="AH673" s="6"/>
      <c r="AI673" s="6"/>
      <c r="AJ673" s="2"/>
    </row>
    <row r="674" spans="1:36" ht="13.2" x14ac:dyDescent="0.25">
      <c r="A674" s="2"/>
      <c r="B674" s="2"/>
      <c r="C674" s="2"/>
      <c r="D674" s="2"/>
      <c r="E674" s="17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1"/>
      <c r="AE674" s="5"/>
      <c r="AF674" s="6"/>
      <c r="AG674" s="6"/>
      <c r="AH674" s="6"/>
      <c r="AI674" s="6"/>
      <c r="AJ674" s="2"/>
    </row>
    <row r="675" spans="1:36" ht="13.2" x14ac:dyDescent="0.25">
      <c r="A675" s="2"/>
      <c r="B675" s="2"/>
      <c r="C675" s="2"/>
      <c r="D675" s="2"/>
      <c r="E675" s="17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1"/>
      <c r="AE675" s="5"/>
      <c r="AF675" s="6"/>
      <c r="AG675" s="6"/>
      <c r="AH675" s="6"/>
      <c r="AI675" s="6"/>
      <c r="AJ675" s="2"/>
    </row>
    <row r="676" spans="1:36" ht="13.2" x14ac:dyDescent="0.25">
      <c r="A676" s="2"/>
      <c r="B676" s="2"/>
      <c r="C676" s="2"/>
      <c r="D676" s="2"/>
      <c r="E676" s="17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1"/>
      <c r="AE676" s="5"/>
      <c r="AF676" s="6"/>
      <c r="AG676" s="6"/>
      <c r="AH676" s="6"/>
      <c r="AI676" s="6"/>
      <c r="AJ676" s="2"/>
    </row>
    <row r="677" spans="1:36" ht="13.2" x14ac:dyDescent="0.25">
      <c r="A677" s="2"/>
      <c r="B677" s="2"/>
      <c r="C677" s="2"/>
      <c r="D677" s="2"/>
      <c r="E677" s="17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1"/>
      <c r="AE677" s="5"/>
      <c r="AF677" s="6"/>
      <c r="AG677" s="6"/>
      <c r="AH677" s="6"/>
      <c r="AI677" s="6"/>
      <c r="AJ677" s="2"/>
    </row>
    <row r="678" spans="1:36" ht="13.2" x14ac:dyDescent="0.25">
      <c r="A678" s="2"/>
      <c r="B678" s="2"/>
      <c r="C678" s="2"/>
      <c r="D678" s="2"/>
      <c r="E678" s="17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1"/>
      <c r="AE678" s="5"/>
      <c r="AF678" s="6"/>
      <c r="AG678" s="6"/>
      <c r="AH678" s="6"/>
      <c r="AI678" s="6"/>
      <c r="AJ678" s="2"/>
    </row>
    <row r="679" spans="1:36" ht="13.2" x14ac:dyDescent="0.25">
      <c r="A679" s="2"/>
      <c r="B679" s="2"/>
      <c r="C679" s="2"/>
      <c r="D679" s="2"/>
      <c r="E679" s="17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1"/>
      <c r="AE679" s="5"/>
      <c r="AF679" s="6"/>
      <c r="AG679" s="6"/>
      <c r="AH679" s="6"/>
      <c r="AI679" s="6"/>
      <c r="AJ679" s="2"/>
    </row>
    <row r="680" spans="1:36" ht="13.2" x14ac:dyDescent="0.25">
      <c r="A680" s="2"/>
      <c r="B680" s="2"/>
      <c r="C680" s="2"/>
      <c r="D680" s="2"/>
      <c r="E680" s="17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1"/>
      <c r="AE680" s="5"/>
      <c r="AF680" s="6"/>
      <c r="AG680" s="6"/>
      <c r="AH680" s="6"/>
      <c r="AI680" s="6"/>
      <c r="AJ680" s="2"/>
    </row>
    <row r="681" spans="1:36" ht="13.2" x14ac:dyDescent="0.25">
      <c r="A681" s="2"/>
      <c r="B681" s="2"/>
      <c r="C681" s="2"/>
      <c r="D681" s="2"/>
      <c r="E681" s="17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1"/>
      <c r="AE681" s="5"/>
      <c r="AF681" s="6"/>
      <c r="AG681" s="6"/>
      <c r="AH681" s="6"/>
      <c r="AI681" s="6"/>
      <c r="AJ681" s="2"/>
    </row>
    <row r="682" spans="1:36" ht="13.2" x14ac:dyDescent="0.25">
      <c r="A682" s="2"/>
      <c r="B682" s="2"/>
      <c r="C682" s="2"/>
      <c r="D682" s="2"/>
      <c r="E682" s="17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1"/>
      <c r="AE682" s="5"/>
      <c r="AF682" s="6"/>
      <c r="AG682" s="6"/>
      <c r="AH682" s="6"/>
      <c r="AI682" s="6"/>
      <c r="AJ682" s="2"/>
    </row>
    <row r="683" spans="1:36" ht="13.2" x14ac:dyDescent="0.25">
      <c r="A683" s="2"/>
      <c r="B683" s="2"/>
      <c r="C683" s="2"/>
      <c r="D683" s="2"/>
      <c r="E683" s="17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1"/>
      <c r="AE683" s="5"/>
      <c r="AF683" s="6"/>
      <c r="AG683" s="6"/>
      <c r="AH683" s="6"/>
      <c r="AI683" s="6"/>
      <c r="AJ683" s="2"/>
    </row>
    <row r="684" spans="1:36" ht="13.2" x14ac:dyDescent="0.25">
      <c r="A684" s="2"/>
      <c r="B684" s="2"/>
      <c r="C684" s="2"/>
      <c r="D684" s="2"/>
      <c r="E684" s="17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1"/>
      <c r="AE684" s="5"/>
      <c r="AF684" s="6"/>
      <c r="AG684" s="6"/>
      <c r="AH684" s="6"/>
      <c r="AI684" s="6"/>
      <c r="AJ684" s="2"/>
    </row>
    <row r="685" spans="1:36" ht="13.2" x14ac:dyDescent="0.25">
      <c r="A685" s="2"/>
      <c r="B685" s="2"/>
      <c r="C685" s="2"/>
      <c r="D685" s="2"/>
      <c r="E685" s="17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1"/>
      <c r="AE685" s="5"/>
      <c r="AF685" s="6"/>
      <c r="AG685" s="6"/>
      <c r="AH685" s="6"/>
      <c r="AI685" s="6"/>
      <c r="AJ685" s="2"/>
    </row>
    <row r="686" spans="1:36" ht="13.2" x14ac:dyDescent="0.25">
      <c r="A686" s="2"/>
      <c r="B686" s="2"/>
      <c r="C686" s="2"/>
      <c r="D686" s="2"/>
      <c r="E686" s="17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1"/>
      <c r="AE686" s="5"/>
      <c r="AF686" s="6"/>
      <c r="AG686" s="6"/>
      <c r="AH686" s="6"/>
      <c r="AI686" s="6"/>
      <c r="AJ686" s="2"/>
    </row>
    <row r="687" spans="1:36" ht="13.2" x14ac:dyDescent="0.25">
      <c r="A687" s="2"/>
      <c r="B687" s="2"/>
      <c r="C687" s="2"/>
      <c r="D687" s="2"/>
      <c r="E687" s="17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1"/>
      <c r="AE687" s="5"/>
      <c r="AF687" s="6"/>
      <c r="AG687" s="6"/>
      <c r="AH687" s="6"/>
      <c r="AI687" s="6"/>
      <c r="AJ687" s="2"/>
    </row>
    <row r="688" spans="1:36" ht="13.2" x14ac:dyDescent="0.25">
      <c r="A688" s="2"/>
      <c r="B688" s="2"/>
      <c r="C688" s="2"/>
      <c r="D688" s="2"/>
      <c r="E688" s="17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1"/>
      <c r="AE688" s="5"/>
      <c r="AF688" s="6"/>
      <c r="AG688" s="6"/>
      <c r="AH688" s="6"/>
      <c r="AI688" s="6"/>
      <c r="AJ688" s="2"/>
    </row>
    <row r="689" spans="1:36" ht="13.2" x14ac:dyDescent="0.25">
      <c r="A689" s="2"/>
      <c r="B689" s="2"/>
      <c r="C689" s="2"/>
      <c r="D689" s="2"/>
      <c r="E689" s="17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1"/>
      <c r="AE689" s="5"/>
      <c r="AF689" s="6"/>
      <c r="AG689" s="6"/>
      <c r="AH689" s="6"/>
      <c r="AI689" s="6"/>
      <c r="AJ689" s="2"/>
    </row>
    <row r="690" spans="1:36" ht="13.2" x14ac:dyDescent="0.25">
      <c r="A690" s="2"/>
      <c r="B690" s="2"/>
      <c r="C690" s="2"/>
      <c r="D690" s="2"/>
      <c r="E690" s="17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1"/>
      <c r="AE690" s="5"/>
      <c r="AF690" s="6"/>
      <c r="AG690" s="6"/>
      <c r="AH690" s="6"/>
      <c r="AI690" s="6"/>
      <c r="AJ690" s="2"/>
    </row>
    <row r="691" spans="1:36" ht="13.2" x14ac:dyDescent="0.25">
      <c r="A691" s="2"/>
      <c r="B691" s="2"/>
      <c r="C691" s="2"/>
      <c r="D691" s="2"/>
      <c r="E691" s="17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1"/>
      <c r="AE691" s="5"/>
      <c r="AF691" s="6"/>
      <c r="AG691" s="6"/>
      <c r="AH691" s="6"/>
      <c r="AI691" s="6"/>
      <c r="AJ691" s="2"/>
    </row>
    <row r="692" spans="1:36" ht="13.2" x14ac:dyDescent="0.25">
      <c r="A692" s="2"/>
      <c r="B692" s="2"/>
      <c r="C692" s="2"/>
      <c r="D692" s="2"/>
      <c r="E692" s="17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1"/>
      <c r="AE692" s="5"/>
      <c r="AF692" s="6"/>
      <c r="AG692" s="6"/>
      <c r="AH692" s="6"/>
      <c r="AI692" s="6"/>
      <c r="AJ692" s="2"/>
    </row>
    <row r="693" spans="1:36" ht="13.2" x14ac:dyDescent="0.25">
      <c r="A693" s="2"/>
      <c r="B693" s="2"/>
      <c r="C693" s="2"/>
      <c r="D693" s="2"/>
      <c r="E693" s="17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1"/>
      <c r="AE693" s="5"/>
      <c r="AF693" s="6"/>
      <c r="AG693" s="6"/>
      <c r="AH693" s="6"/>
      <c r="AI693" s="6"/>
      <c r="AJ693" s="2"/>
    </row>
    <row r="694" spans="1:36" ht="13.2" x14ac:dyDescent="0.25">
      <c r="A694" s="2"/>
      <c r="B694" s="2"/>
      <c r="C694" s="2"/>
      <c r="D694" s="2"/>
      <c r="E694" s="17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1"/>
      <c r="AE694" s="5"/>
      <c r="AF694" s="6"/>
      <c r="AG694" s="6"/>
      <c r="AH694" s="6"/>
      <c r="AI694" s="6"/>
      <c r="AJ694" s="2"/>
    </row>
    <row r="695" spans="1:36" ht="13.2" x14ac:dyDescent="0.25">
      <c r="A695" s="2"/>
      <c r="B695" s="2"/>
      <c r="C695" s="2"/>
      <c r="D695" s="2"/>
      <c r="E695" s="17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1"/>
      <c r="AE695" s="5"/>
      <c r="AF695" s="6"/>
      <c r="AG695" s="6"/>
      <c r="AH695" s="6"/>
      <c r="AI695" s="6"/>
      <c r="AJ695" s="2"/>
    </row>
    <row r="696" spans="1:36" ht="13.2" x14ac:dyDescent="0.25">
      <c r="A696" s="2"/>
      <c r="B696" s="2"/>
      <c r="C696" s="2"/>
      <c r="D696" s="2"/>
      <c r="E696" s="17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1"/>
      <c r="AE696" s="5"/>
      <c r="AF696" s="6"/>
      <c r="AG696" s="6"/>
      <c r="AH696" s="6"/>
      <c r="AI696" s="6"/>
      <c r="AJ696" s="2"/>
    </row>
    <row r="697" spans="1:36" ht="13.2" x14ac:dyDescent="0.25">
      <c r="A697" s="2"/>
      <c r="B697" s="2"/>
      <c r="C697" s="2"/>
      <c r="D697" s="2"/>
      <c r="E697" s="17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1"/>
      <c r="AE697" s="5"/>
      <c r="AF697" s="6"/>
      <c r="AG697" s="6"/>
      <c r="AH697" s="6"/>
      <c r="AI697" s="6"/>
      <c r="AJ697" s="2"/>
    </row>
    <row r="698" spans="1:36" ht="13.2" x14ac:dyDescent="0.25">
      <c r="A698" s="2"/>
      <c r="B698" s="2"/>
      <c r="C698" s="2"/>
      <c r="D698" s="2"/>
      <c r="E698" s="17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1"/>
      <c r="AE698" s="5"/>
      <c r="AF698" s="6"/>
      <c r="AG698" s="6"/>
      <c r="AH698" s="6"/>
      <c r="AI698" s="6"/>
      <c r="AJ698" s="2"/>
    </row>
    <row r="699" spans="1:36" ht="13.2" x14ac:dyDescent="0.25">
      <c r="A699" s="2"/>
      <c r="B699" s="2"/>
      <c r="C699" s="2"/>
      <c r="D699" s="2"/>
      <c r="E699" s="17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1"/>
      <c r="AE699" s="5"/>
      <c r="AF699" s="6"/>
      <c r="AG699" s="6"/>
      <c r="AH699" s="6"/>
      <c r="AI699" s="6"/>
      <c r="AJ699" s="2"/>
    </row>
    <row r="700" spans="1:36" ht="13.2" x14ac:dyDescent="0.25">
      <c r="A700" s="2"/>
      <c r="B700" s="2"/>
      <c r="C700" s="2"/>
      <c r="D700" s="2"/>
      <c r="E700" s="17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1"/>
      <c r="AE700" s="5"/>
      <c r="AF700" s="6"/>
      <c r="AG700" s="6"/>
      <c r="AH700" s="6"/>
      <c r="AI700" s="6"/>
      <c r="AJ700" s="2"/>
    </row>
    <row r="701" spans="1:36" ht="13.2" x14ac:dyDescent="0.25">
      <c r="A701" s="2"/>
      <c r="B701" s="2"/>
      <c r="C701" s="2"/>
      <c r="D701" s="2"/>
      <c r="E701" s="17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1"/>
      <c r="AE701" s="5"/>
      <c r="AF701" s="6"/>
      <c r="AG701" s="6"/>
      <c r="AH701" s="6"/>
      <c r="AI701" s="6"/>
      <c r="AJ701" s="2"/>
    </row>
    <row r="702" spans="1:36" ht="13.2" x14ac:dyDescent="0.25">
      <c r="A702" s="2"/>
      <c r="B702" s="2"/>
      <c r="C702" s="2"/>
      <c r="D702" s="2"/>
      <c r="E702" s="17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1"/>
      <c r="AE702" s="5"/>
      <c r="AF702" s="6"/>
      <c r="AG702" s="6"/>
      <c r="AH702" s="6"/>
      <c r="AI702" s="6"/>
      <c r="AJ702" s="2"/>
    </row>
    <row r="703" spans="1:36" ht="13.2" x14ac:dyDescent="0.25">
      <c r="A703" s="2"/>
      <c r="B703" s="2"/>
      <c r="C703" s="2"/>
      <c r="D703" s="2"/>
      <c r="E703" s="17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1"/>
      <c r="AE703" s="5"/>
      <c r="AF703" s="6"/>
      <c r="AG703" s="6"/>
      <c r="AH703" s="6"/>
      <c r="AI703" s="6"/>
      <c r="AJ703" s="2"/>
    </row>
    <row r="704" spans="1:36" ht="13.2" x14ac:dyDescent="0.25">
      <c r="A704" s="2"/>
      <c r="B704" s="2"/>
      <c r="C704" s="2"/>
      <c r="D704" s="2"/>
      <c r="E704" s="17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1"/>
      <c r="AE704" s="5"/>
      <c r="AF704" s="6"/>
      <c r="AG704" s="6"/>
      <c r="AH704" s="6"/>
      <c r="AI704" s="6"/>
      <c r="AJ704" s="2"/>
    </row>
    <row r="705" spans="1:36" ht="13.2" x14ac:dyDescent="0.25">
      <c r="A705" s="2"/>
      <c r="B705" s="2"/>
      <c r="C705" s="2"/>
      <c r="D705" s="2"/>
      <c r="E705" s="17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1"/>
      <c r="AE705" s="5"/>
      <c r="AF705" s="6"/>
      <c r="AG705" s="6"/>
      <c r="AH705" s="6"/>
      <c r="AI705" s="6"/>
      <c r="AJ705" s="2"/>
    </row>
    <row r="706" spans="1:36" ht="13.2" x14ac:dyDescent="0.25">
      <c r="A706" s="2"/>
      <c r="B706" s="2"/>
      <c r="C706" s="2"/>
      <c r="D706" s="2"/>
      <c r="E706" s="17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1"/>
      <c r="AE706" s="5"/>
      <c r="AF706" s="6"/>
      <c r="AG706" s="6"/>
      <c r="AH706" s="6"/>
      <c r="AI706" s="6"/>
      <c r="AJ706" s="2"/>
    </row>
    <row r="707" spans="1:36" ht="13.2" x14ac:dyDescent="0.25">
      <c r="A707" s="2"/>
      <c r="B707" s="2"/>
      <c r="C707" s="2"/>
      <c r="D707" s="2"/>
      <c r="E707" s="17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1"/>
      <c r="AE707" s="5"/>
      <c r="AF707" s="6"/>
      <c r="AG707" s="6"/>
      <c r="AH707" s="6"/>
      <c r="AI707" s="6"/>
      <c r="AJ707" s="2"/>
    </row>
    <row r="708" spans="1:36" ht="13.2" x14ac:dyDescent="0.25">
      <c r="A708" s="2"/>
      <c r="B708" s="2"/>
      <c r="C708" s="2"/>
      <c r="D708" s="2"/>
      <c r="E708" s="17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1"/>
      <c r="AE708" s="5"/>
      <c r="AF708" s="6"/>
      <c r="AG708" s="6"/>
      <c r="AH708" s="6"/>
      <c r="AI708" s="6"/>
      <c r="AJ708" s="2"/>
    </row>
    <row r="709" spans="1:36" ht="13.2" x14ac:dyDescent="0.25">
      <c r="A709" s="2"/>
      <c r="B709" s="2"/>
      <c r="C709" s="2"/>
      <c r="D709" s="2"/>
      <c r="E709" s="17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1"/>
      <c r="AE709" s="5"/>
      <c r="AF709" s="6"/>
      <c r="AG709" s="6"/>
      <c r="AH709" s="6"/>
      <c r="AI709" s="6"/>
      <c r="AJ709" s="2"/>
    </row>
    <row r="710" spans="1:36" ht="13.2" x14ac:dyDescent="0.25">
      <c r="A710" s="2"/>
      <c r="B710" s="2"/>
      <c r="C710" s="2"/>
      <c r="D710" s="2"/>
      <c r="E710" s="17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1"/>
      <c r="AE710" s="5"/>
      <c r="AF710" s="6"/>
      <c r="AG710" s="6"/>
      <c r="AH710" s="6"/>
      <c r="AI710" s="6"/>
      <c r="AJ710" s="2"/>
    </row>
    <row r="711" spans="1:36" ht="13.2" x14ac:dyDescent="0.25">
      <c r="A711" s="2"/>
      <c r="B711" s="2"/>
      <c r="C711" s="2"/>
      <c r="D711" s="2"/>
      <c r="E711" s="17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1"/>
      <c r="AE711" s="5"/>
      <c r="AF711" s="6"/>
      <c r="AG711" s="6"/>
      <c r="AH711" s="6"/>
      <c r="AI711" s="6"/>
      <c r="AJ711" s="2"/>
    </row>
    <row r="712" spans="1:36" ht="13.2" x14ac:dyDescent="0.25">
      <c r="A712" s="2"/>
      <c r="B712" s="2"/>
      <c r="C712" s="2"/>
      <c r="D712" s="2"/>
      <c r="E712" s="17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1"/>
      <c r="AE712" s="5"/>
      <c r="AF712" s="6"/>
      <c r="AG712" s="6"/>
      <c r="AH712" s="6"/>
      <c r="AI712" s="6"/>
      <c r="AJ712" s="2"/>
    </row>
    <row r="713" spans="1:36" ht="13.2" x14ac:dyDescent="0.25">
      <c r="A713" s="2"/>
      <c r="B713" s="2"/>
      <c r="C713" s="2"/>
      <c r="D713" s="2"/>
      <c r="E713" s="17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1"/>
      <c r="AE713" s="5"/>
      <c r="AF713" s="6"/>
      <c r="AG713" s="6"/>
      <c r="AH713" s="6"/>
      <c r="AI713" s="6"/>
      <c r="AJ713" s="2"/>
    </row>
    <row r="714" spans="1:36" ht="13.2" x14ac:dyDescent="0.25">
      <c r="A714" s="2"/>
      <c r="B714" s="2"/>
      <c r="C714" s="2"/>
      <c r="D714" s="2"/>
      <c r="E714" s="17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1"/>
      <c r="AE714" s="5"/>
      <c r="AF714" s="6"/>
      <c r="AG714" s="6"/>
      <c r="AH714" s="6"/>
      <c r="AI714" s="6"/>
      <c r="AJ714" s="2"/>
    </row>
    <row r="715" spans="1:36" ht="13.2" x14ac:dyDescent="0.25">
      <c r="A715" s="2"/>
      <c r="B715" s="2"/>
      <c r="C715" s="2"/>
      <c r="D715" s="2"/>
      <c r="E715" s="17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1"/>
      <c r="AE715" s="5"/>
      <c r="AF715" s="6"/>
      <c r="AG715" s="6"/>
      <c r="AH715" s="6"/>
      <c r="AI715" s="6"/>
      <c r="AJ715" s="2"/>
    </row>
    <row r="716" spans="1:36" ht="13.2" x14ac:dyDescent="0.25">
      <c r="A716" s="2"/>
      <c r="B716" s="2"/>
      <c r="C716" s="2"/>
      <c r="D716" s="2"/>
      <c r="E716" s="17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1"/>
      <c r="AE716" s="5"/>
      <c r="AF716" s="6"/>
      <c r="AG716" s="6"/>
      <c r="AH716" s="6"/>
      <c r="AI716" s="6"/>
      <c r="AJ716" s="2"/>
    </row>
    <row r="717" spans="1:36" ht="13.2" x14ac:dyDescent="0.25">
      <c r="A717" s="2"/>
      <c r="B717" s="2"/>
      <c r="C717" s="2"/>
      <c r="D717" s="2"/>
      <c r="E717" s="17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1"/>
      <c r="AE717" s="5"/>
      <c r="AF717" s="6"/>
      <c r="AG717" s="6"/>
      <c r="AH717" s="6"/>
      <c r="AI717" s="6"/>
      <c r="AJ717" s="2"/>
    </row>
    <row r="718" spans="1:36" ht="13.2" x14ac:dyDescent="0.25">
      <c r="A718" s="2"/>
      <c r="B718" s="2"/>
      <c r="C718" s="2"/>
      <c r="D718" s="2"/>
      <c r="E718" s="17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1"/>
      <c r="AE718" s="5"/>
      <c r="AF718" s="6"/>
      <c r="AG718" s="6"/>
      <c r="AH718" s="6"/>
      <c r="AI718" s="6"/>
      <c r="AJ718" s="2"/>
    </row>
    <row r="719" spans="1:36" ht="13.2" x14ac:dyDescent="0.25">
      <c r="A719" s="2"/>
      <c r="B719" s="2"/>
      <c r="C719" s="2"/>
      <c r="D719" s="2"/>
      <c r="E719" s="17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1"/>
      <c r="AE719" s="5"/>
      <c r="AF719" s="6"/>
      <c r="AG719" s="6"/>
      <c r="AH719" s="6"/>
      <c r="AI719" s="6"/>
      <c r="AJ719" s="2"/>
    </row>
    <row r="720" spans="1:36" ht="13.2" x14ac:dyDescent="0.25">
      <c r="A720" s="2"/>
      <c r="B720" s="2"/>
      <c r="C720" s="2"/>
      <c r="D720" s="2"/>
      <c r="E720" s="17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1"/>
      <c r="AE720" s="5"/>
      <c r="AF720" s="6"/>
      <c r="AG720" s="6"/>
      <c r="AH720" s="6"/>
      <c r="AI720" s="6"/>
      <c r="AJ720" s="2"/>
    </row>
    <row r="721" spans="1:36" ht="13.2" x14ac:dyDescent="0.25">
      <c r="A721" s="2"/>
      <c r="B721" s="2"/>
      <c r="C721" s="2"/>
      <c r="D721" s="2"/>
      <c r="E721" s="17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1"/>
      <c r="AE721" s="5"/>
      <c r="AF721" s="6"/>
      <c r="AG721" s="6"/>
      <c r="AH721" s="6"/>
      <c r="AI721" s="6"/>
      <c r="AJ721" s="2"/>
    </row>
    <row r="722" spans="1:36" ht="13.2" x14ac:dyDescent="0.25">
      <c r="A722" s="2"/>
      <c r="B722" s="2"/>
      <c r="C722" s="2"/>
      <c r="D722" s="2"/>
      <c r="E722" s="17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1"/>
      <c r="AE722" s="5"/>
      <c r="AF722" s="6"/>
      <c r="AG722" s="6"/>
      <c r="AH722" s="6"/>
      <c r="AI722" s="6"/>
      <c r="AJ722" s="2"/>
    </row>
    <row r="723" spans="1:36" ht="15.75" customHeight="1" x14ac:dyDescent="0.25">
      <c r="E723" s="17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1"/>
      <c r="AE723" s="5"/>
      <c r="AF723" s="6"/>
      <c r="AG723" s="6"/>
      <c r="AH723" s="6"/>
      <c r="AI723" s="6"/>
    </row>
    <row r="724" spans="1:36" ht="15.75" customHeight="1" x14ac:dyDescent="0.25">
      <c r="AD724" s="19"/>
      <c r="AE724" s="7"/>
      <c r="AF724" s="7"/>
      <c r="AG724" s="7"/>
      <c r="AH724" s="7"/>
      <c r="AI724" s="7"/>
    </row>
    <row r="725" spans="1:36" ht="15.75" customHeight="1" x14ac:dyDescent="0.25">
      <c r="AD725" s="19"/>
      <c r="AE725" s="7"/>
      <c r="AF725" s="7"/>
      <c r="AG725" s="7"/>
      <c r="AH725" s="7"/>
      <c r="AI725" s="7"/>
    </row>
    <row r="726" spans="1:36" ht="15.75" customHeight="1" x14ac:dyDescent="0.25">
      <c r="AD726" s="19"/>
      <c r="AE726" s="7"/>
      <c r="AF726" s="7"/>
      <c r="AG726" s="7"/>
      <c r="AH726" s="7"/>
      <c r="AI726" s="7"/>
    </row>
    <row r="727" spans="1:36" ht="15.75" customHeight="1" x14ac:dyDescent="0.25">
      <c r="AD727" s="19"/>
      <c r="AE727" s="7"/>
      <c r="AF727" s="7"/>
      <c r="AG727" s="7"/>
      <c r="AH727" s="7"/>
      <c r="AI727" s="7"/>
    </row>
    <row r="728" spans="1:36" ht="15.75" customHeight="1" x14ac:dyDescent="0.25">
      <c r="AD728" s="19"/>
      <c r="AE728" s="7"/>
      <c r="AF728" s="7"/>
      <c r="AG728" s="7"/>
      <c r="AH728" s="7"/>
      <c r="AI728" s="7"/>
    </row>
    <row r="729" spans="1:36" ht="15.75" customHeight="1" x14ac:dyDescent="0.25">
      <c r="AD729" s="19"/>
      <c r="AE729" s="7"/>
      <c r="AF729" s="7"/>
      <c r="AG729" s="7"/>
      <c r="AH729" s="7"/>
      <c r="AI729" s="7"/>
    </row>
    <row r="730" spans="1:36" ht="15.75" customHeight="1" x14ac:dyDescent="0.25">
      <c r="AD730" s="19"/>
      <c r="AE730" s="7"/>
      <c r="AF730" s="7"/>
      <c r="AG730" s="7"/>
      <c r="AH730" s="7"/>
      <c r="AI730" s="7"/>
    </row>
    <row r="731" spans="1:36" ht="15.75" customHeight="1" x14ac:dyDescent="0.25">
      <c r="AD731" s="19"/>
      <c r="AE731" s="7"/>
      <c r="AF731" s="7"/>
      <c r="AG731" s="7"/>
      <c r="AH731" s="7"/>
      <c r="AI731" s="7"/>
    </row>
    <row r="732" spans="1:36" ht="15.75" customHeight="1" x14ac:dyDescent="0.25">
      <c r="AD732" s="19"/>
      <c r="AE732" s="7"/>
      <c r="AF732" s="7"/>
      <c r="AG732" s="7"/>
      <c r="AH732" s="7"/>
      <c r="AI732" s="7"/>
    </row>
    <row r="733" spans="1:36" ht="15.75" customHeight="1" x14ac:dyDescent="0.25">
      <c r="AD733" s="19"/>
      <c r="AE733" s="7"/>
      <c r="AF733" s="7"/>
      <c r="AG733" s="7"/>
      <c r="AH733" s="7"/>
      <c r="AI733" s="7"/>
    </row>
    <row r="734" spans="1:36" ht="15.75" customHeight="1" x14ac:dyDescent="0.25">
      <c r="AD734" s="19"/>
      <c r="AE734" s="7"/>
      <c r="AF734" s="7"/>
      <c r="AG734" s="7"/>
      <c r="AH734" s="7"/>
      <c r="AI734" s="7"/>
    </row>
    <row r="735" spans="1:36" ht="15.75" customHeight="1" x14ac:dyDescent="0.25">
      <c r="AD735" s="19"/>
      <c r="AE735" s="7"/>
      <c r="AF735" s="7"/>
      <c r="AG735" s="7"/>
      <c r="AH735" s="7"/>
      <c r="AI735" s="7"/>
    </row>
    <row r="736" spans="1:36" ht="15.75" customHeight="1" x14ac:dyDescent="0.25">
      <c r="AD736" s="19"/>
      <c r="AE736" s="7"/>
      <c r="AF736" s="7"/>
      <c r="AG736" s="7"/>
      <c r="AH736" s="7"/>
      <c r="AI736" s="7"/>
    </row>
    <row r="737" spans="30:35" ht="15.75" customHeight="1" x14ac:dyDescent="0.25">
      <c r="AD737" s="19"/>
      <c r="AE737" s="7"/>
      <c r="AF737" s="7"/>
      <c r="AG737" s="7"/>
      <c r="AH737" s="7"/>
      <c r="AI737" s="7"/>
    </row>
  </sheetData>
  <hyperlinks>
    <hyperlink ref="AJ35" r:id="rId1" display="mailto:baloghcsaba87@gmail.com" xr:uid="{00000000-0004-0000-0100-000000000000}"/>
  </hyperlinks>
  <pageMargins left="0.7" right="0.7" top="0.75" bottom="0.75" header="0.3" footer="0.3"/>
  <pageSetup paperSize="9" orientation="portrait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Open ECC2024</vt:lpstr>
      <vt:lpstr>Women ECC2024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Vladimir Š.</dc:creator>
  <cp:lastModifiedBy>ŠS Beograda</cp:lastModifiedBy>
  <dcterms:created xsi:type="dcterms:W3CDTF">2024-10-13T13:25:13Z</dcterms:created>
  <dcterms:modified xsi:type="dcterms:W3CDTF">2024-10-25T11:27:45Z</dcterms:modified>
</cp:coreProperties>
</file>